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8E69C8E-6388-43C7-B18F-34974046EF3E}" xr6:coauthVersionLast="47" xr6:coauthVersionMax="47" xr10:uidLastSave="{00000000-0000-0000-0000-000000000000}"/>
  <bookViews>
    <workbookView xWindow="-120" yWindow="-120" windowWidth="24240" windowHeight="13140" tabRatio="736" firstSheet="3" activeTab="7" xr2:uid="{00000000-000D-0000-FFFF-FFFF00000000}"/>
  </bookViews>
  <sheets>
    <sheet name="свод штат" sheetId="19" state="hidden" r:id="rId1"/>
    <sheet name="ШТАТ АУП 2022" sheetId="2" state="hidden" r:id="rId2"/>
    <sheet name="тариф мугалим" sheetId="18" state="hidden" r:id="rId3"/>
    <sheet name="АДМ 1 сен" sheetId="21" r:id="rId4"/>
    <sheet name="МҰҒАЛІМ 1 сен" sheetId="22" r:id="rId5"/>
    <sheet name="шағын орталық" sheetId="25" r:id="rId6"/>
    <sheet name="Лист1" sheetId="26" r:id="rId7"/>
    <sheet name="Лист2" sheetId="27" r:id="rId8"/>
  </sheets>
  <externalReferences>
    <externalReference r:id="rId9"/>
  </externalReferences>
  <definedNames>
    <definedName name="_xlnm._FilterDatabase" localSheetId="3" hidden="1">'АДМ 1 сен'!$A$15:$AC$48</definedName>
    <definedName name="_xlnm._FilterDatabase" localSheetId="4" hidden="1">'МҰҒАЛІМ 1 сен'!$A$10:$AP$40</definedName>
    <definedName name="_xlnm._FilterDatabase" localSheetId="2" hidden="1">'тариф мугалим'!$A$20:$AO$89</definedName>
    <definedName name="_xlnm._FilterDatabase" localSheetId="1" hidden="1">'ШТАТ АУП 2022'!$A$12:$AD$132</definedName>
    <definedName name="_xlnm.Print_Titles" localSheetId="3">'АДМ 1 сен'!$14:$17</definedName>
    <definedName name="_xlnm.Print_Titles" localSheetId="4">'МҰҒАЛІМ 1 сен'!$7:$10</definedName>
    <definedName name="_xlnm.Print_Titles" localSheetId="0">'свод штат'!$10:$11</definedName>
    <definedName name="_xlnm.Print_Titles" localSheetId="2">'тариф мугалим'!$19:$20</definedName>
    <definedName name="_xlnm.Print_Titles" localSheetId="1">'ШТАТ АУП 2022'!$11:$12</definedName>
    <definedName name="_xlnm.Print_Area" localSheetId="3">'АДМ 1 сен'!$A$1:$AA$56</definedName>
    <definedName name="_xlnm.Print_Area" localSheetId="4">'МҰҒАЛІМ 1 сен'!$A$1:$AN$40</definedName>
    <definedName name="_xlnm.Print_Area" localSheetId="2">'тариф мугалим'!$A$1:$AM$95</definedName>
    <definedName name="_xlnm.Print_Area" localSheetId="1">'ШТАТ АУП 2022'!$A$1:$AB$135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44" i="27" l="1"/>
  <c r="AB44" i="27"/>
  <c r="Z44" i="27"/>
  <c r="X44" i="27"/>
  <c r="V44" i="27"/>
  <c r="Q44" i="27"/>
  <c r="O44" i="27"/>
  <c r="M44" i="27"/>
  <c r="H44" i="27"/>
  <c r="AG43" i="27"/>
  <c r="AB43" i="27"/>
  <c r="Z43" i="27"/>
  <c r="X43" i="27"/>
  <c r="V43" i="27"/>
  <c r="Q43" i="27"/>
  <c r="O43" i="27"/>
  <c r="M43" i="27"/>
  <c r="R43" i="27" s="1"/>
  <c r="H43" i="27"/>
  <c r="AG42" i="27"/>
  <c r="AB42" i="27"/>
  <c r="Z42" i="27"/>
  <c r="X42" i="27"/>
  <c r="V42" i="27"/>
  <c r="Q42" i="27"/>
  <c r="O42" i="27"/>
  <c r="M42" i="27"/>
  <c r="R42" i="27" s="1"/>
  <c r="H42" i="27"/>
  <c r="AG41" i="27"/>
  <c r="AB41" i="27"/>
  <c r="Z41" i="27"/>
  <c r="X41" i="27"/>
  <c r="V41" i="27"/>
  <c r="Q41" i="27"/>
  <c r="O41" i="27"/>
  <c r="M41" i="27"/>
  <c r="R41" i="27" s="1"/>
  <c r="K41" i="27"/>
  <c r="H41" i="27"/>
  <c r="AG40" i="27"/>
  <c r="AB40" i="27"/>
  <c r="Z40" i="27"/>
  <c r="X40" i="27"/>
  <c r="V40" i="27"/>
  <c r="Q40" i="27"/>
  <c r="O40" i="27"/>
  <c r="M40" i="27"/>
  <c r="H40" i="27"/>
  <c r="AG39" i="27"/>
  <c r="AB39" i="27"/>
  <c r="Z39" i="27"/>
  <c r="X39" i="27"/>
  <c r="V39" i="27"/>
  <c r="Q39" i="27"/>
  <c r="O39" i="27"/>
  <c r="M39" i="27"/>
  <c r="H39" i="27"/>
  <c r="AG38" i="27"/>
  <c r="AB38" i="27"/>
  <c r="Z38" i="27"/>
  <c r="X38" i="27"/>
  <c r="V38" i="27"/>
  <c r="Q38" i="27"/>
  <c r="O38" i="27"/>
  <c r="M38" i="27"/>
  <c r="H38" i="27"/>
  <c r="AG37" i="27"/>
  <c r="AB37" i="27"/>
  <c r="Z37" i="27"/>
  <c r="X37" i="27"/>
  <c r="V37" i="27"/>
  <c r="Q37" i="27"/>
  <c r="O37" i="27"/>
  <c r="M37" i="27"/>
  <c r="H37" i="27"/>
  <c r="AG36" i="27"/>
  <c r="AB36" i="27"/>
  <c r="Z36" i="27"/>
  <c r="X36" i="27"/>
  <c r="V36" i="27"/>
  <c r="Q36" i="27"/>
  <c r="O36" i="27"/>
  <c r="M36" i="27"/>
  <c r="R36" i="27" s="1"/>
  <c r="H36" i="27"/>
  <c r="AG35" i="27"/>
  <c r="AB35" i="27"/>
  <c r="Z35" i="27"/>
  <c r="X35" i="27"/>
  <c r="X14" i="27" s="1"/>
  <c r="V35" i="27"/>
  <c r="R35" i="27"/>
  <c r="Q35" i="27"/>
  <c r="O35" i="27"/>
  <c r="M35" i="27"/>
  <c r="S35" i="27" s="1"/>
  <c r="H35" i="27"/>
  <c r="AG34" i="27"/>
  <c r="AB34" i="27"/>
  <c r="Z34" i="27"/>
  <c r="X34" i="27"/>
  <c r="V34" i="27"/>
  <c r="Q34" i="27"/>
  <c r="O34" i="27"/>
  <c r="M34" i="27"/>
  <c r="H34" i="27"/>
  <c r="AG33" i="27"/>
  <c r="AB33" i="27"/>
  <c r="Z33" i="27"/>
  <c r="X33" i="27"/>
  <c r="V33" i="27"/>
  <c r="Q33" i="27"/>
  <c r="O33" i="27"/>
  <c r="M33" i="27"/>
  <c r="H33" i="27"/>
  <c r="AG32" i="27"/>
  <c r="AB32" i="27"/>
  <c r="Z32" i="27"/>
  <c r="X32" i="27"/>
  <c r="V32" i="27"/>
  <c r="Q32" i="27"/>
  <c r="O32" i="27"/>
  <c r="M32" i="27"/>
  <c r="H32" i="27"/>
  <c r="AG31" i="27"/>
  <c r="AB31" i="27"/>
  <c r="Z31" i="27"/>
  <c r="X31" i="27"/>
  <c r="V31" i="27"/>
  <c r="Q31" i="27"/>
  <c r="O31" i="27"/>
  <c r="M31" i="27"/>
  <c r="H31" i="27"/>
  <c r="AG30" i="27"/>
  <c r="AB30" i="27"/>
  <c r="Z30" i="27"/>
  <c r="X30" i="27"/>
  <c r="V30" i="27"/>
  <c r="Q30" i="27"/>
  <c r="O30" i="27"/>
  <c r="M30" i="27"/>
  <c r="H30" i="27"/>
  <c r="AG29" i="27"/>
  <c r="AB29" i="27"/>
  <c r="Z29" i="27"/>
  <c r="X29" i="27"/>
  <c r="V29" i="27"/>
  <c r="Q29" i="27"/>
  <c r="O29" i="27"/>
  <c r="M29" i="27"/>
  <c r="H29" i="27"/>
  <c r="AG28" i="27"/>
  <c r="AB28" i="27"/>
  <c r="Z28" i="27"/>
  <c r="X28" i="27"/>
  <c r="V28" i="27"/>
  <c r="Q28" i="27"/>
  <c r="O28" i="27"/>
  <c r="M28" i="27"/>
  <c r="H28" i="27"/>
  <c r="AG27" i="27"/>
  <c r="AB27" i="27"/>
  <c r="Z27" i="27"/>
  <c r="X27" i="27"/>
  <c r="V27" i="27"/>
  <c r="Q27" i="27"/>
  <c r="O27" i="27"/>
  <c r="M27" i="27"/>
  <c r="H27" i="27"/>
  <c r="AG26" i="27"/>
  <c r="AB26" i="27"/>
  <c r="Z26" i="27"/>
  <c r="X26" i="27"/>
  <c r="V26" i="27"/>
  <c r="Q26" i="27"/>
  <c r="O26" i="27"/>
  <c r="M26" i="27"/>
  <c r="H26" i="27"/>
  <c r="AG25" i="27"/>
  <c r="AB25" i="27"/>
  <c r="Z25" i="27"/>
  <c r="X25" i="27"/>
  <c r="V25" i="27"/>
  <c r="Q25" i="27"/>
  <c r="Q14" i="27" s="1"/>
  <c r="O25" i="27"/>
  <c r="M25" i="27"/>
  <c r="H25" i="27"/>
  <c r="AG24" i="27"/>
  <c r="AB24" i="27"/>
  <c r="Z24" i="27"/>
  <c r="X24" i="27"/>
  <c r="V24" i="27"/>
  <c r="Q24" i="27"/>
  <c r="O24" i="27"/>
  <c r="M24" i="27"/>
  <c r="H24" i="27"/>
  <c r="AG23" i="27"/>
  <c r="AB23" i="27"/>
  <c r="Z23" i="27"/>
  <c r="X23" i="27"/>
  <c r="V23" i="27"/>
  <c r="Q23" i="27"/>
  <c r="O23" i="27"/>
  <c r="M23" i="27"/>
  <c r="H23" i="27"/>
  <c r="AG22" i="27"/>
  <c r="AB22" i="27"/>
  <c r="AB14" i="27" s="1"/>
  <c r="Z22" i="27"/>
  <c r="X22" i="27"/>
  <c r="V22" i="27"/>
  <c r="Q22" i="27"/>
  <c r="O22" i="27"/>
  <c r="M22" i="27"/>
  <c r="H22" i="27"/>
  <c r="AG21" i="27"/>
  <c r="AB21" i="27"/>
  <c r="Z21" i="27"/>
  <c r="X21" i="27"/>
  <c r="V21" i="27"/>
  <c r="S21" i="27"/>
  <c r="Q21" i="27"/>
  <c r="O21" i="27"/>
  <c r="M21" i="27"/>
  <c r="R21" i="27" s="1"/>
  <c r="H21" i="27"/>
  <c r="AG20" i="27"/>
  <c r="AB20" i="27"/>
  <c r="Z20" i="27"/>
  <c r="X20" i="27"/>
  <c r="V20" i="27"/>
  <c r="Q20" i="27"/>
  <c r="O20" i="27"/>
  <c r="M20" i="27"/>
  <c r="R20" i="27" s="1"/>
  <c r="H20" i="27"/>
  <c r="AG19" i="27"/>
  <c r="AB19" i="27"/>
  <c r="Z19" i="27"/>
  <c r="X19" i="27"/>
  <c r="V19" i="27"/>
  <c r="Q19" i="27"/>
  <c r="O19" i="27"/>
  <c r="M19" i="27"/>
  <c r="R19" i="27" s="1"/>
  <c r="H19" i="27"/>
  <c r="AG18" i="27"/>
  <c r="AB18" i="27"/>
  <c r="Z18" i="27"/>
  <c r="X18" i="27"/>
  <c r="V18" i="27"/>
  <c r="S18" i="27"/>
  <c r="AJ18" i="27" s="1"/>
  <c r="Q18" i="27"/>
  <c r="O18" i="27"/>
  <c r="M18" i="27"/>
  <c r="R18" i="27" s="1"/>
  <c r="H18" i="27"/>
  <c r="AG17" i="27"/>
  <c r="AB17" i="27"/>
  <c r="Z17" i="27"/>
  <c r="X17" i="27"/>
  <c r="V17" i="27"/>
  <c r="S17" i="27"/>
  <c r="Q17" i="27"/>
  <c r="O17" i="27"/>
  <c r="M17" i="27"/>
  <c r="R17" i="27" s="1"/>
  <c r="H17" i="27"/>
  <c r="AG16" i="27"/>
  <c r="AB16" i="27"/>
  <c r="Z16" i="27"/>
  <c r="X16" i="27"/>
  <c r="V16" i="27"/>
  <c r="Q16" i="27"/>
  <c r="O16" i="27"/>
  <c r="M16" i="27"/>
  <c r="R16" i="27" s="1"/>
  <c r="H16" i="27"/>
  <c r="AG15" i="27"/>
  <c r="AB15" i="27"/>
  <c r="Z15" i="27"/>
  <c r="X15" i="27"/>
  <c r="V15" i="27"/>
  <c r="V14" i="27" s="1"/>
  <c r="Q15" i="27"/>
  <c r="O15" i="27"/>
  <c r="M15" i="27"/>
  <c r="H15" i="27"/>
  <c r="AL14" i="27"/>
  <c r="AH14" i="27"/>
  <c r="AG14" i="27"/>
  <c r="AF14" i="27"/>
  <c r="AD14" i="27"/>
  <c r="AC14" i="27"/>
  <c r="AA14" i="27"/>
  <c r="Y14" i="27"/>
  <c r="W14" i="27"/>
  <c r="U14" i="27"/>
  <c r="P14" i="27"/>
  <c r="N14" i="27" a="1"/>
  <c r="N14" i="27" s="1"/>
  <c r="K14" i="27"/>
  <c r="AD10" i="22"/>
  <c r="AF10" i="22"/>
  <c r="AH10" i="22"/>
  <c r="U10" i="22"/>
  <c r="W10" i="22"/>
  <c r="Y10" i="22"/>
  <c r="AA10" i="22"/>
  <c r="AC10" i="22"/>
  <c r="P10" i="22"/>
  <c r="N10" i="22" a="1"/>
  <c r="N10" i="22" s="1"/>
  <c r="AL10" i="22"/>
  <c r="K19" i="25"/>
  <c r="AG44" i="26"/>
  <c r="AB44" i="26"/>
  <c r="Z44" i="26"/>
  <c r="X44" i="26"/>
  <c r="V44" i="26"/>
  <c r="Q44" i="26"/>
  <c r="O44" i="26"/>
  <c r="M44" i="26"/>
  <c r="H44" i="26"/>
  <c r="AG43" i="26"/>
  <c r="AB43" i="26"/>
  <c r="Z43" i="26"/>
  <c r="X43" i="26"/>
  <c r="V43" i="26"/>
  <c r="Q43" i="26"/>
  <c r="O43" i="26"/>
  <c r="M43" i="26"/>
  <c r="R43" i="26" s="1"/>
  <c r="H43" i="26"/>
  <c r="AG42" i="26"/>
  <c r="AB42" i="26"/>
  <c r="Z42" i="26"/>
  <c r="X42" i="26"/>
  <c r="V42" i="26"/>
  <c r="Q42" i="26"/>
  <c r="O42" i="26"/>
  <c r="M42" i="26"/>
  <c r="H42" i="26"/>
  <c r="AG41" i="26"/>
  <c r="AB41" i="26"/>
  <c r="Z41" i="26"/>
  <c r="X41" i="26"/>
  <c r="V41" i="26"/>
  <c r="Q41" i="26"/>
  <c r="O41" i="26"/>
  <c r="M41" i="26"/>
  <c r="K41" i="26"/>
  <c r="K14" i="26" s="1"/>
  <c r="H41" i="26"/>
  <c r="AG40" i="26"/>
  <c r="AB40" i="26"/>
  <c r="Z40" i="26"/>
  <c r="X40" i="26"/>
  <c r="V40" i="26"/>
  <c r="Q40" i="26"/>
  <c r="O40" i="26"/>
  <c r="M40" i="26"/>
  <c r="H40" i="26"/>
  <c r="AG39" i="26"/>
  <c r="AB39" i="26"/>
  <c r="Z39" i="26"/>
  <c r="X39" i="26"/>
  <c r="V39" i="26"/>
  <c r="Q39" i="26"/>
  <c r="O39" i="26"/>
  <c r="M39" i="26"/>
  <c r="H39" i="26"/>
  <c r="AG38" i="26"/>
  <c r="AB38" i="26"/>
  <c r="Z38" i="26"/>
  <c r="X38" i="26"/>
  <c r="V38" i="26"/>
  <c r="Q38" i="26"/>
  <c r="O38" i="26"/>
  <c r="M38" i="26"/>
  <c r="H38" i="26"/>
  <c r="AG37" i="26"/>
  <c r="AB37" i="26"/>
  <c r="Z37" i="26"/>
  <c r="X37" i="26"/>
  <c r="V37" i="26"/>
  <c r="Q37" i="26"/>
  <c r="O37" i="26"/>
  <c r="M37" i="26"/>
  <c r="H37" i="26"/>
  <c r="AG36" i="26"/>
  <c r="AB36" i="26"/>
  <c r="Z36" i="26"/>
  <c r="X36" i="26"/>
  <c r="V36" i="26"/>
  <c r="Q36" i="26"/>
  <c r="O36" i="26"/>
  <c r="M36" i="26"/>
  <c r="H36" i="26"/>
  <c r="AG35" i="26"/>
  <c r="AB35" i="26"/>
  <c r="Z35" i="26"/>
  <c r="X35" i="26"/>
  <c r="V35" i="26"/>
  <c r="Q35" i="26"/>
  <c r="O35" i="26"/>
  <c r="M35" i="26"/>
  <c r="H35" i="26"/>
  <c r="AG34" i="26"/>
  <c r="AB34" i="26"/>
  <c r="Z34" i="26"/>
  <c r="X34" i="26"/>
  <c r="V34" i="26"/>
  <c r="Q34" i="26"/>
  <c r="O34" i="26"/>
  <c r="R34" i="26" s="1"/>
  <c r="M34" i="26"/>
  <c r="H34" i="26"/>
  <c r="AG33" i="26"/>
  <c r="AB33" i="26"/>
  <c r="Z33" i="26"/>
  <c r="X33" i="26"/>
  <c r="V33" i="26"/>
  <c r="Q33" i="26"/>
  <c r="O33" i="26"/>
  <c r="M33" i="26"/>
  <c r="H33" i="26"/>
  <c r="AG32" i="26"/>
  <c r="AB32" i="26"/>
  <c r="Z32" i="26"/>
  <c r="X32" i="26"/>
  <c r="V32" i="26"/>
  <c r="Q32" i="26"/>
  <c r="O32" i="26"/>
  <c r="M32" i="26"/>
  <c r="H32" i="26"/>
  <c r="AG31" i="26"/>
  <c r="AB31" i="26"/>
  <c r="Z31" i="26"/>
  <c r="X31" i="26"/>
  <c r="V31" i="26"/>
  <c r="Q31" i="26"/>
  <c r="O31" i="26"/>
  <c r="M31" i="26"/>
  <c r="R31" i="26" s="1"/>
  <c r="H31" i="26"/>
  <c r="AG30" i="26"/>
  <c r="AB30" i="26"/>
  <c r="Z30" i="26"/>
  <c r="X30" i="26"/>
  <c r="V30" i="26"/>
  <c r="Q30" i="26"/>
  <c r="O30" i="26"/>
  <c r="M30" i="26"/>
  <c r="H30" i="26"/>
  <c r="AG29" i="26"/>
  <c r="AB29" i="26"/>
  <c r="Z29" i="26"/>
  <c r="X29" i="26"/>
  <c r="V29" i="26"/>
  <c r="Q29" i="26"/>
  <c r="O29" i="26"/>
  <c r="M29" i="26"/>
  <c r="H29" i="26"/>
  <c r="AG28" i="26"/>
  <c r="AB28" i="26"/>
  <c r="Z28" i="26"/>
  <c r="X28" i="26"/>
  <c r="V28" i="26"/>
  <c r="Q28" i="26"/>
  <c r="O28" i="26"/>
  <c r="M28" i="26"/>
  <c r="H28" i="26"/>
  <c r="AG27" i="26"/>
  <c r="AB27" i="26"/>
  <c r="Z27" i="26"/>
  <c r="X27" i="26"/>
  <c r="V27" i="26"/>
  <c r="Q27" i="26"/>
  <c r="O27" i="26"/>
  <c r="M27" i="26"/>
  <c r="R27" i="26" s="1"/>
  <c r="H27" i="26"/>
  <c r="AG26" i="26"/>
  <c r="AB26" i="26"/>
  <c r="Z26" i="26"/>
  <c r="X26" i="26"/>
  <c r="V26" i="26"/>
  <c r="Q26" i="26"/>
  <c r="O26" i="26"/>
  <c r="M26" i="26"/>
  <c r="H26" i="26"/>
  <c r="AG25" i="26"/>
  <c r="AB25" i="26"/>
  <c r="Z25" i="26"/>
  <c r="X25" i="26"/>
  <c r="V25" i="26"/>
  <c r="Q25" i="26"/>
  <c r="O25" i="26"/>
  <c r="M25" i="26"/>
  <c r="H25" i="26"/>
  <c r="AG24" i="26"/>
  <c r="AB24" i="26"/>
  <c r="Z24" i="26"/>
  <c r="X24" i="26"/>
  <c r="V24" i="26"/>
  <c r="Q24" i="26"/>
  <c r="O24" i="26"/>
  <c r="M24" i="26"/>
  <c r="H24" i="26"/>
  <c r="AG23" i="26"/>
  <c r="AB23" i="26"/>
  <c r="Z23" i="26"/>
  <c r="X23" i="26"/>
  <c r="V23" i="26"/>
  <c r="Q23" i="26"/>
  <c r="O23" i="26"/>
  <c r="M23" i="26"/>
  <c r="R23" i="26" s="1"/>
  <c r="H23" i="26"/>
  <c r="AG22" i="26"/>
  <c r="AB22" i="26"/>
  <c r="Z22" i="26"/>
  <c r="X22" i="26"/>
  <c r="V22" i="26"/>
  <c r="Q22" i="26"/>
  <c r="O22" i="26"/>
  <c r="M22" i="26"/>
  <c r="H22" i="26"/>
  <c r="AG21" i="26"/>
  <c r="AB21" i="26"/>
  <c r="Z21" i="26"/>
  <c r="X21" i="26"/>
  <c r="V21" i="26"/>
  <c r="Q21" i="26"/>
  <c r="O21" i="26"/>
  <c r="M21" i="26"/>
  <c r="H21" i="26"/>
  <c r="AG20" i="26"/>
  <c r="AB20" i="26"/>
  <c r="Z20" i="26"/>
  <c r="X20" i="26"/>
  <c r="V20" i="26"/>
  <c r="Q20" i="26"/>
  <c r="O20" i="26"/>
  <c r="M20" i="26"/>
  <c r="H20" i="26"/>
  <c r="AG19" i="26"/>
  <c r="AB19" i="26"/>
  <c r="Z19" i="26"/>
  <c r="X19" i="26"/>
  <c r="V19" i="26"/>
  <c r="Q19" i="26"/>
  <c r="O19" i="26"/>
  <c r="M19" i="26"/>
  <c r="R19" i="26" s="1"/>
  <c r="H19" i="26"/>
  <c r="AG18" i="26"/>
  <c r="AB18" i="26"/>
  <c r="Z18" i="26"/>
  <c r="X18" i="26"/>
  <c r="V18" i="26"/>
  <c r="Q18" i="26"/>
  <c r="O18" i="26"/>
  <c r="M18" i="26"/>
  <c r="H18" i="26"/>
  <c r="AG17" i="26"/>
  <c r="AB17" i="26"/>
  <c r="Z17" i="26"/>
  <c r="X17" i="26"/>
  <c r="V17" i="26"/>
  <c r="Q17" i="26"/>
  <c r="O17" i="26"/>
  <c r="M17" i="26"/>
  <c r="H17" i="26"/>
  <c r="AG16" i="26"/>
  <c r="AB16" i="26"/>
  <c r="Z16" i="26"/>
  <c r="X16" i="26"/>
  <c r="V16" i="26"/>
  <c r="Q16" i="26"/>
  <c r="O16" i="26"/>
  <c r="M16" i="26"/>
  <c r="H16" i="26"/>
  <c r="AG15" i="26"/>
  <c r="AB15" i="26"/>
  <c r="AB14" i="26" s="1"/>
  <c r="Z15" i="26"/>
  <c r="X15" i="26"/>
  <c r="X14" i="26" s="1"/>
  <c r="V15" i="26"/>
  <c r="Q15" i="26"/>
  <c r="O15" i="26"/>
  <c r="M15" i="26"/>
  <c r="H15" i="26"/>
  <c r="AL14" i="26"/>
  <c r="AH14" i="26"/>
  <c r="AF14" i="26"/>
  <c r="AD14" i="26"/>
  <c r="AC14" i="26"/>
  <c r="AA14" i="26"/>
  <c r="Y14" i="26"/>
  <c r="W14" i="26"/>
  <c r="U14" i="26"/>
  <c r="P14" i="26"/>
  <c r="AG40" i="22"/>
  <c r="AB40" i="22"/>
  <c r="Z40" i="22"/>
  <c r="X40" i="22"/>
  <c r="V40" i="22"/>
  <c r="Q40" i="22"/>
  <c r="O40" i="22"/>
  <c r="M40" i="22"/>
  <c r="H40" i="22"/>
  <c r="AA28" i="21"/>
  <c r="AA43" i="21"/>
  <c r="AA44" i="21"/>
  <c r="AA45" i="21"/>
  <c r="K29" i="21"/>
  <c r="M29" i="21" s="1"/>
  <c r="N29" i="21" s="1"/>
  <c r="K28" i="21"/>
  <c r="M28" i="21" s="1"/>
  <c r="AG31" i="22"/>
  <c r="AB31" i="22"/>
  <c r="Z31" i="22"/>
  <c r="X31" i="22"/>
  <c r="V31" i="22"/>
  <c r="Q31" i="22"/>
  <c r="O31" i="22"/>
  <c r="M31" i="22"/>
  <c r="H31" i="22"/>
  <c r="S15" i="27" l="1"/>
  <c r="AE21" i="27"/>
  <c r="AM21" i="27" s="1"/>
  <c r="AN21" i="27" s="1"/>
  <c r="T21" i="27"/>
  <c r="S33" i="27"/>
  <c r="Z14" i="27"/>
  <c r="S16" i="27"/>
  <c r="S20" i="27"/>
  <c r="O14" i="27"/>
  <c r="R26" i="27"/>
  <c r="S26" i="27" s="1"/>
  <c r="AE18" i="27"/>
  <c r="AM18" i="27" s="1"/>
  <c r="AN18" i="27" s="1"/>
  <c r="T18" i="27"/>
  <c r="S23" i="27"/>
  <c r="S28" i="27"/>
  <c r="AE17" i="27"/>
  <c r="AM17" i="27"/>
  <c r="AN17" i="27" s="1"/>
  <c r="T17" i="27"/>
  <c r="AK17" i="27"/>
  <c r="S19" i="27"/>
  <c r="R25" i="27"/>
  <c r="S25" i="27" s="1"/>
  <c r="AE35" i="27"/>
  <c r="T35" i="27"/>
  <c r="AM35" i="27"/>
  <c r="AN35" i="27" s="1"/>
  <c r="R15" i="27"/>
  <c r="M14" i="27" a="1"/>
  <c r="M14" i="27" s="1"/>
  <c r="S36" i="27"/>
  <c r="S41" i="27"/>
  <c r="S42" i="27"/>
  <c r="S43" i="27"/>
  <c r="R27" i="27"/>
  <c r="S27" i="27" s="1"/>
  <c r="R28" i="27"/>
  <c r="R29" i="27"/>
  <c r="S29" i="27" s="1"/>
  <c r="R30" i="27"/>
  <c r="S30" i="27" s="1"/>
  <c r="R31" i="27"/>
  <c r="S31" i="27" s="1"/>
  <c r="R32" i="27"/>
  <c r="S32" i="27" s="1"/>
  <c r="R33" i="27"/>
  <c r="R34" i="27"/>
  <c r="S34" i="27" s="1"/>
  <c r="R22" i="27"/>
  <c r="S22" i="27" s="1"/>
  <c r="R23" i="27"/>
  <c r="R24" i="27"/>
  <c r="S24" i="27" s="1"/>
  <c r="R37" i="27"/>
  <c r="S37" i="27" s="1"/>
  <c r="R38" i="27"/>
  <c r="S38" i="27" s="1"/>
  <c r="R39" i="27"/>
  <c r="S39" i="27" s="1"/>
  <c r="R40" i="27"/>
  <c r="S40" i="27" s="1"/>
  <c r="R44" i="27"/>
  <c r="S44" i="27" s="1"/>
  <c r="R41" i="26"/>
  <c r="O14" i="26"/>
  <c r="Z14" i="26"/>
  <c r="R16" i="26"/>
  <c r="S16" i="26" s="1"/>
  <c r="R20" i="26"/>
  <c r="R24" i="26"/>
  <c r="V14" i="26"/>
  <c r="R28" i="26"/>
  <c r="R32" i="26"/>
  <c r="R42" i="26"/>
  <c r="R17" i="26"/>
  <c r="R21" i="26"/>
  <c r="R25" i="26"/>
  <c r="R29" i="26"/>
  <c r="S29" i="26" s="1"/>
  <c r="R36" i="26"/>
  <c r="S36" i="26" s="1"/>
  <c r="Q14" i="26"/>
  <c r="AG14" i="26"/>
  <c r="R18" i="26"/>
  <c r="S18" i="26" s="1"/>
  <c r="R26" i="26"/>
  <c r="S26" i="26" s="1"/>
  <c r="R30" i="26"/>
  <c r="R33" i="26"/>
  <c r="R35" i="26"/>
  <c r="S35" i="26" s="1"/>
  <c r="R37" i="26"/>
  <c r="S37" i="26" s="1"/>
  <c r="S15" i="26"/>
  <c r="S34" i="26"/>
  <c r="S33" i="26"/>
  <c r="S17" i="26"/>
  <c r="S20" i="26"/>
  <c r="S42" i="26"/>
  <c r="R15" i="26"/>
  <c r="S23" i="26"/>
  <c r="S24" i="26"/>
  <c r="M14" i="26"/>
  <c r="R22" i="26"/>
  <c r="S22" i="26" s="1"/>
  <c r="S25" i="26"/>
  <c r="S27" i="26"/>
  <c r="S28" i="26"/>
  <c r="S30" i="26"/>
  <c r="S31" i="26"/>
  <c r="S32" i="26"/>
  <c r="R38" i="26"/>
  <c r="S38" i="26" s="1"/>
  <c r="R39" i="26"/>
  <c r="S39" i="26" s="1"/>
  <c r="R40" i="26"/>
  <c r="S40" i="26" s="1"/>
  <c r="R44" i="26"/>
  <c r="S44" i="26" s="1"/>
  <c r="S19" i="26"/>
  <c r="S21" i="26"/>
  <c r="S41" i="26"/>
  <c r="S43" i="26"/>
  <c r="R40" i="22"/>
  <c r="S40" i="22" s="1"/>
  <c r="Z29" i="21"/>
  <c r="AA29" i="21" s="1"/>
  <c r="R31" i="22"/>
  <c r="S31" i="22" s="1"/>
  <c r="AK39" i="27" l="1"/>
  <c r="AE39" i="27"/>
  <c r="AM39" i="27"/>
  <c r="AN39" i="27" s="1"/>
  <c r="T39" i="27"/>
  <c r="T32" i="27"/>
  <c r="AK32" i="27"/>
  <c r="AM32" i="27" s="1"/>
  <c r="AN32" i="27" s="1"/>
  <c r="AE32" i="27"/>
  <c r="AK38" i="27"/>
  <c r="AE38" i="27"/>
  <c r="AM38" i="27"/>
  <c r="AN38" i="27" s="1"/>
  <c r="T38" i="27"/>
  <c r="AK22" i="27"/>
  <c r="AE22" i="27"/>
  <c r="T22" i="27"/>
  <c r="AM22" i="27" s="1"/>
  <c r="AN22" i="27" s="1"/>
  <c r="T31" i="27"/>
  <c r="AI31" i="27"/>
  <c r="AM31" i="27" s="1"/>
  <c r="AN31" i="27" s="1"/>
  <c r="AE31" i="27"/>
  <c r="T27" i="27"/>
  <c r="AI27" i="27"/>
  <c r="AM27" i="27" s="1"/>
  <c r="AN27" i="27" s="1"/>
  <c r="AE27" i="27"/>
  <c r="T26" i="27"/>
  <c r="AI26" i="27"/>
  <c r="AM26" i="27" s="1"/>
  <c r="AN26" i="27" s="1"/>
  <c r="AE26" i="27"/>
  <c r="AE44" i="27"/>
  <c r="T44" i="27"/>
  <c r="AM44" i="27" s="1"/>
  <c r="AI37" i="27"/>
  <c r="AE37" i="27"/>
  <c r="T37" i="27"/>
  <c r="AM37" i="27" s="1"/>
  <c r="AN37" i="27" s="1"/>
  <c r="T34" i="27"/>
  <c r="AM34" i="27"/>
  <c r="AN34" i="27" s="1"/>
  <c r="AE34" i="27"/>
  <c r="AM30" i="27"/>
  <c r="AN30" i="27" s="1"/>
  <c r="T30" i="27"/>
  <c r="AK30" i="27"/>
  <c r="AE30" i="27"/>
  <c r="AJ40" i="27"/>
  <c r="AM40" i="27" s="1"/>
  <c r="AN40" i="27" s="1"/>
  <c r="AE40" i="27"/>
  <c r="T40" i="27"/>
  <c r="AM24" i="27"/>
  <c r="AN24" i="27" s="1"/>
  <c r="AE24" i="27"/>
  <c r="T24" i="27"/>
  <c r="T29" i="27"/>
  <c r="AM29" i="27" s="1"/>
  <c r="AN29" i="27" s="1"/>
  <c r="AI29" i="27"/>
  <c r="AE29" i="27"/>
  <c r="T25" i="27"/>
  <c r="AM25" i="27" s="1"/>
  <c r="AN25" i="27" s="1"/>
  <c r="AI25" i="27"/>
  <c r="AE25" i="27"/>
  <c r="AE36" i="27"/>
  <c r="T36" i="27"/>
  <c r="AM36" i="27" s="1"/>
  <c r="AN36" i="27" s="1"/>
  <c r="AE43" i="27"/>
  <c r="T43" i="27"/>
  <c r="AM43" i="27"/>
  <c r="AN43" i="27" s="1"/>
  <c r="AI23" i="27"/>
  <c r="AE23" i="27"/>
  <c r="T23" i="27"/>
  <c r="AM23" i="27" s="1"/>
  <c r="AN23" i="27" s="1"/>
  <c r="AE16" i="27"/>
  <c r="T16" i="27"/>
  <c r="AM16" i="27" s="1"/>
  <c r="AN16" i="27" s="1"/>
  <c r="AI16" i="27"/>
  <c r="AE41" i="27"/>
  <c r="T41" i="27"/>
  <c r="AM41" i="27" s="1"/>
  <c r="AN41" i="27" s="1"/>
  <c r="AK41" i="27"/>
  <c r="AE19" i="27"/>
  <c r="T19" i="27"/>
  <c r="AM19" i="27" s="1"/>
  <c r="AN19" i="27" s="1"/>
  <c r="AK19" i="27"/>
  <c r="AK14" i="27" s="1"/>
  <c r="T28" i="27"/>
  <c r="AJ28" i="27"/>
  <c r="AM28" i="27" s="1"/>
  <c r="AN28" i="27" s="1"/>
  <c r="AE28" i="27"/>
  <c r="AE20" i="27"/>
  <c r="T20" i="27"/>
  <c r="AM20" i="27" s="1"/>
  <c r="AN20" i="27" s="1"/>
  <c r="AJ20" i="27"/>
  <c r="T33" i="27"/>
  <c r="AI33" i="27"/>
  <c r="AM33" i="27" s="1"/>
  <c r="AN33" i="27" s="1"/>
  <c r="AE33" i="27"/>
  <c r="AE15" i="27"/>
  <c r="AE14" i="27" s="1"/>
  <c r="S14" i="27"/>
  <c r="AM15" i="27"/>
  <c r="AN15" i="27" s="1"/>
  <c r="T15" i="27"/>
  <c r="AI15" i="27"/>
  <c r="AE42" i="27"/>
  <c r="AM42" i="27"/>
  <c r="AN42" i="27" s="1"/>
  <c r="T42" i="27"/>
  <c r="AJ42" i="27"/>
  <c r="R14" i="27"/>
  <c r="AE35" i="26"/>
  <c r="T35" i="26"/>
  <c r="AM35" i="26" s="1"/>
  <c r="AN35" i="26" s="1"/>
  <c r="AE39" i="26"/>
  <c r="AK39" i="26"/>
  <c r="T39" i="26"/>
  <c r="AE40" i="26"/>
  <c r="AJ40" i="26"/>
  <c r="AM40" i="26" s="1"/>
  <c r="AN40" i="26" s="1"/>
  <c r="T40" i="26"/>
  <c r="AE22" i="26"/>
  <c r="AK22" i="26"/>
  <c r="AM22" i="26" s="1"/>
  <c r="AN22" i="26" s="1"/>
  <c r="T22" i="26"/>
  <c r="AE38" i="26"/>
  <c r="AK38" i="26"/>
  <c r="T38" i="26"/>
  <c r="AM38" i="26" s="1"/>
  <c r="AN38" i="26" s="1"/>
  <c r="T16" i="26"/>
  <c r="AE16" i="26"/>
  <c r="AI16" i="26"/>
  <c r="T25" i="26"/>
  <c r="AM25" i="26" s="1"/>
  <c r="AN25" i="26" s="1"/>
  <c r="AI25" i="26"/>
  <c r="AE25" i="26"/>
  <c r="T18" i="26"/>
  <c r="AE18" i="26"/>
  <c r="AJ18" i="26"/>
  <c r="AK30" i="26"/>
  <c r="T30" i="26"/>
  <c r="AE30" i="26"/>
  <c r="AE37" i="26"/>
  <c r="AI37" i="26"/>
  <c r="T37" i="26"/>
  <c r="T43" i="26"/>
  <c r="AM43" i="26" s="1"/>
  <c r="AN43" i="26" s="1"/>
  <c r="AE43" i="26"/>
  <c r="AE27" i="26"/>
  <c r="AI27" i="26"/>
  <c r="T27" i="26"/>
  <c r="R14" i="26"/>
  <c r="T36" i="26"/>
  <c r="AE36" i="26"/>
  <c r="AM36" i="26" s="1"/>
  <c r="AN36" i="26" s="1"/>
  <c r="AI29" i="26"/>
  <c r="T29" i="26"/>
  <c r="AE29" i="26"/>
  <c r="AE24" i="26"/>
  <c r="T24" i="26"/>
  <c r="T20" i="26"/>
  <c r="AJ20" i="26"/>
  <c r="AE20" i="26"/>
  <c r="AM20" i="26" s="1"/>
  <c r="AN20" i="26" s="1"/>
  <c r="AE44" i="26"/>
  <c r="T44" i="26"/>
  <c r="T15" i="26"/>
  <c r="AM15" i="26" s="1"/>
  <c r="AN15" i="26" s="1"/>
  <c r="AI15" i="26"/>
  <c r="AE15" i="26"/>
  <c r="S14" i="26"/>
  <c r="T41" i="26"/>
  <c r="AE41" i="26"/>
  <c r="AK41" i="26"/>
  <c r="T26" i="26"/>
  <c r="AI26" i="26"/>
  <c r="AE26" i="26"/>
  <c r="T42" i="26"/>
  <c r="AJ42" i="26"/>
  <c r="AE42" i="26"/>
  <c r="AM42" i="26" s="1"/>
  <c r="AN42" i="26" s="1"/>
  <c r="T33" i="26"/>
  <c r="AE33" i="26"/>
  <c r="AI33" i="26"/>
  <c r="AM33" i="26"/>
  <c r="AN33" i="26" s="1"/>
  <c r="T19" i="26"/>
  <c r="AE19" i="26"/>
  <c r="AK19" i="26"/>
  <c r="AM19" i="26" s="1"/>
  <c r="AN19" i="26" s="1"/>
  <c r="T31" i="26"/>
  <c r="AM31" i="26" s="1"/>
  <c r="AN31" i="26" s="1"/>
  <c r="AI31" i="26"/>
  <c r="AE31" i="26"/>
  <c r="T21" i="26"/>
  <c r="AE21" i="26"/>
  <c r="AK32" i="26"/>
  <c r="T32" i="26"/>
  <c r="AM32" i="26" s="1"/>
  <c r="AN32" i="26" s="1"/>
  <c r="AE32" i="26"/>
  <c r="T28" i="26"/>
  <c r="AE28" i="26"/>
  <c r="AJ28" i="26"/>
  <c r="AE23" i="26"/>
  <c r="T23" i="26"/>
  <c r="AI23" i="26"/>
  <c r="T17" i="26"/>
  <c r="AM17" i="26" s="1"/>
  <c r="AN17" i="26" s="1"/>
  <c r="AK17" i="26"/>
  <c r="AE17" i="26"/>
  <c r="AE34" i="26"/>
  <c r="T34" i="26"/>
  <c r="AE40" i="22"/>
  <c r="T40" i="22"/>
  <c r="AE31" i="22"/>
  <c r="T31" i="22"/>
  <c r="O33" i="22"/>
  <c r="AG33" i="22"/>
  <c r="AB33" i="22"/>
  <c r="Z33" i="22"/>
  <c r="X33" i="22"/>
  <c r="V33" i="22"/>
  <c r="Q33" i="22"/>
  <c r="M33" i="22"/>
  <c r="H33" i="22"/>
  <c r="AG30" i="22"/>
  <c r="AB30" i="22"/>
  <c r="Z30" i="22"/>
  <c r="X30" i="22"/>
  <c r="V30" i="22"/>
  <c r="Q30" i="22"/>
  <c r="O30" i="22"/>
  <c r="M30" i="22"/>
  <c r="H30" i="22"/>
  <c r="X17" i="25"/>
  <c r="W17" i="25"/>
  <c r="V17" i="25"/>
  <c r="U17" i="25"/>
  <c r="T17" i="25"/>
  <c r="S17" i="25"/>
  <c r="R17" i="25"/>
  <c r="Q17" i="25"/>
  <c r="P17" i="25"/>
  <c r="O17" i="25"/>
  <c r="L17" i="25"/>
  <c r="J17" i="25"/>
  <c r="K37" i="22"/>
  <c r="K19" i="21"/>
  <c r="K20" i="21"/>
  <c r="K21" i="21"/>
  <c r="K22" i="21"/>
  <c r="K23" i="21"/>
  <c r="K24" i="21"/>
  <c r="K25" i="21"/>
  <c r="K26" i="21"/>
  <c r="K27" i="21"/>
  <c r="K30" i="21"/>
  <c r="K31" i="21"/>
  <c r="K32" i="21"/>
  <c r="K33" i="21"/>
  <c r="K34" i="21"/>
  <c r="K35" i="21"/>
  <c r="K36" i="21"/>
  <c r="K37" i="21"/>
  <c r="K38" i="21"/>
  <c r="K39" i="21"/>
  <c r="K40" i="21"/>
  <c r="K41" i="21"/>
  <c r="K42" i="21"/>
  <c r="K43" i="21"/>
  <c r="K44" i="21"/>
  <c r="K45" i="21"/>
  <c r="K46" i="21"/>
  <c r="K47" i="21"/>
  <c r="K48" i="21"/>
  <c r="AM40" i="22" l="1"/>
  <c r="AN44" i="27"/>
  <c r="AM14" i="27"/>
  <c r="AI14" i="27"/>
  <c r="T14" i="27"/>
  <c r="AJ14" i="27"/>
  <c r="AM34" i="26"/>
  <c r="AN34" i="26" s="1"/>
  <c r="AM21" i="26"/>
  <c r="AN21" i="26" s="1"/>
  <c r="AM26" i="26"/>
  <c r="AN26" i="26" s="1"/>
  <c r="AM30" i="26"/>
  <c r="AN30" i="26" s="1"/>
  <c r="AM18" i="26"/>
  <c r="AN18" i="26" s="1"/>
  <c r="AM41" i="26"/>
  <c r="AN41" i="26" s="1"/>
  <c r="AM29" i="26"/>
  <c r="AN29" i="26" s="1"/>
  <c r="AM37" i="26"/>
  <c r="AN37" i="26" s="1"/>
  <c r="AM23" i="26"/>
  <c r="AN23" i="26" s="1"/>
  <c r="AM28" i="26"/>
  <c r="AN28" i="26" s="1"/>
  <c r="AM44" i="26"/>
  <c r="AN44" i="26" s="1"/>
  <c r="AM24" i="26"/>
  <c r="AN24" i="26" s="1"/>
  <c r="AM27" i="26"/>
  <c r="AN27" i="26" s="1"/>
  <c r="AM16" i="26"/>
  <c r="AN16" i="26" s="1"/>
  <c r="AM39" i="26"/>
  <c r="AN39" i="26" s="1"/>
  <c r="T14" i="26"/>
  <c r="AK14" i="26"/>
  <c r="AI14" i="26"/>
  <c r="AJ14" i="26"/>
  <c r="AE14" i="26"/>
  <c r="AM31" i="22"/>
  <c r="AN31" i="22" s="1"/>
  <c r="M30" i="21"/>
  <c r="R33" i="22"/>
  <c r="S33" i="22" s="1"/>
  <c r="AI33" i="22" s="1"/>
  <c r="R30" i="22"/>
  <c r="S30" i="22" s="1"/>
  <c r="K17" i="25"/>
  <c r="M27" i="21"/>
  <c r="N27" i="21" s="1"/>
  <c r="M24" i="21"/>
  <c r="N24" i="21" s="1"/>
  <c r="M21" i="21"/>
  <c r="N21" i="21" s="1"/>
  <c r="M19" i="21"/>
  <c r="N19" i="21" s="1"/>
  <c r="N28" i="21"/>
  <c r="M25" i="21"/>
  <c r="N25" i="21" s="1"/>
  <c r="M22" i="21"/>
  <c r="N22" i="21" s="1"/>
  <c r="M20" i="21"/>
  <c r="N20" i="21" s="1"/>
  <c r="M26" i="21"/>
  <c r="N26" i="21" s="1"/>
  <c r="M18" i="25"/>
  <c r="N18" i="25" s="1"/>
  <c r="M19" i="25"/>
  <c r="Z19" i="25" s="1"/>
  <c r="AA19" i="25" s="1"/>
  <c r="N47" i="21"/>
  <c r="Z47" i="21" s="1"/>
  <c r="AA47" i="21" s="1"/>
  <c r="N45" i="21"/>
  <c r="N43" i="21"/>
  <c r="N41" i="21"/>
  <c r="Z41" i="21" s="1"/>
  <c r="AA41" i="21" s="1"/>
  <c r="N39" i="21"/>
  <c r="Z39" i="21" s="1"/>
  <c r="AA39" i="21" s="1"/>
  <c r="N37" i="21"/>
  <c r="Z37" i="21" s="1"/>
  <c r="AA37" i="21" s="1"/>
  <c r="N35" i="21"/>
  <c r="Z35" i="21" s="1"/>
  <c r="AA35" i="21" s="1"/>
  <c r="N33" i="21"/>
  <c r="Z33" i="21" s="1"/>
  <c r="AA33" i="21" s="1"/>
  <c r="N48" i="21"/>
  <c r="Z48" i="21" s="1"/>
  <c r="AA48" i="21" s="1"/>
  <c r="N46" i="21"/>
  <c r="Z46" i="21" s="1"/>
  <c r="AA46" i="21" s="1"/>
  <c r="N44" i="21"/>
  <c r="N42" i="21"/>
  <c r="Z42" i="21" s="1"/>
  <c r="AA42" i="21" s="1"/>
  <c r="N40" i="21"/>
  <c r="Z40" i="21" s="1"/>
  <c r="AA40" i="21" s="1"/>
  <c r="N38" i="21"/>
  <c r="Z38" i="21" s="1"/>
  <c r="AA38" i="21" s="1"/>
  <c r="N36" i="21"/>
  <c r="Z36" i="21" s="1"/>
  <c r="AA36" i="21" s="1"/>
  <c r="N34" i="21"/>
  <c r="Z34" i="21" s="1"/>
  <c r="N32" i="21"/>
  <c r="Z32" i="21" s="1"/>
  <c r="AA32" i="21" s="1"/>
  <c r="N31" i="21"/>
  <c r="Z31" i="21" s="1"/>
  <c r="AA31" i="21" s="1"/>
  <c r="M23" i="21"/>
  <c r="N23" i="21" s="1"/>
  <c r="AN40" i="22" l="1"/>
  <c r="Z22" i="21"/>
  <c r="AA22" i="21" s="1"/>
  <c r="Z27" i="21"/>
  <c r="AA27" i="21" s="1"/>
  <c r="AA34" i="21"/>
  <c r="Z23" i="21"/>
  <c r="AA23" i="21" s="1"/>
  <c r="Y21" i="21"/>
  <c r="Z21" i="21" s="1"/>
  <c r="AA21" i="21" s="1"/>
  <c r="N30" i="21"/>
  <c r="Z30" i="21" s="1"/>
  <c r="Z26" i="21"/>
  <c r="AA26" i="21" s="1"/>
  <c r="Z19" i="21"/>
  <c r="AA19" i="21" s="1"/>
  <c r="Z25" i="21"/>
  <c r="AA25" i="21" s="1"/>
  <c r="Z24" i="21"/>
  <c r="AA24" i="21" s="1"/>
  <c r="AE33" i="22"/>
  <c r="T33" i="22"/>
  <c r="T30" i="22"/>
  <c r="AE30" i="22"/>
  <c r="Y17" i="25"/>
  <c r="M17" i="25"/>
  <c r="AM30" i="22" l="1"/>
  <c r="AN30" i="22" s="1"/>
  <c r="AM33" i="22"/>
  <c r="AN33" i="22" s="1"/>
  <c r="AA30" i="21"/>
  <c r="N17" i="25"/>
  <c r="Z18" i="25"/>
  <c r="AG12" i="22"/>
  <c r="AG13" i="22"/>
  <c r="AG14" i="22"/>
  <c r="AG15" i="22"/>
  <c r="AG16" i="22"/>
  <c r="AG17" i="22"/>
  <c r="AG18" i="22"/>
  <c r="AG19" i="22"/>
  <c r="AG20" i="22"/>
  <c r="AG21" i="22"/>
  <c r="AG22" i="22"/>
  <c r="AG23" i="22"/>
  <c r="AG24" i="22"/>
  <c r="AG25" i="22"/>
  <c r="AG26" i="22"/>
  <c r="AG27" i="22"/>
  <c r="AG28" i="22"/>
  <c r="AG29" i="22"/>
  <c r="AG32" i="22"/>
  <c r="AG34" i="22"/>
  <c r="AG35" i="22"/>
  <c r="AG36" i="22"/>
  <c r="AG37" i="22"/>
  <c r="AG38" i="22"/>
  <c r="AG39" i="22"/>
  <c r="AG11" i="22"/>
  <c r="X12" i="22"/>
  <c r="X13" i="22"/>
  <c r="X14" i="22"/>
  <c r="X15" i="22"/>
  <c r="X16" i="22"/>
  <c r="X17" i="22"/>
  <c r="X18" i="22"/>
  <c r="X19" i="22"/>
  <c r="X20" i="22"/>
  <c r="X21" i="22"/>
  <c r="X22" i="22"/>
  <c r="X23" i="22"/>
  <c r="X24" i="22"/>
  <c r="X25" i="22"/>
  <c r="X26" i="22"/>
  <c r="X27" i="22"/>
  <c r="X28" i="22"/>
  <c r="X29" i="22"/>
  <c r="X32" i="22"/>
  <c r="X34" i="22"/>
  <c r="X35" i="22"/>
  <c r="X36" i="22"/>
  <c r="X37" i="22"/>
  <c r="X38" i="22"/>
  <c r="X39" i="22"/>
  <c r="X11" i="22"/>
  <c r="V12" i="22"/>
  <c r="V13" i="22"/>
  <c r="V14" i="22"/>
  <c r="V15" i="22"/>
  <c r="V16" i="22"/>
  <c r="V17" i="22"/>
  <c r="V18" i="22"/>
  <c r="V19" i="22"/>
  <c r="V20" i="22"/>
  <c r="V21" i="22"/>
  <c r="V22" i="22"/>
  <c r="V23" i="22"/>
  <c r="V24" i="22"/>
  <c r="V25" i="22"/>
  <c r="V26" i="22"/>
  <c r="V27" i="22"/>
  <c r="V28" i="22"/>
  <c r="V29" i="22"/>
  <c r="V32" i="22"/>
  <c r="V34" i="22"/>
  <c r="V35" i="22"/>
  <c r="V36" i="22"/>
  <c r="V37" i="22"/>
  <c r="V38" i="22"/>
  <c r="V39" i="22"/>
  <c r="V11" i="22"/>
  <c r="V10" i="22" l="1"/>
  <c r="AG10" i="22"/>
  <c r="X10" i="22"/>
  <c r="Z17" i="25"/>
  <c r="AA18" i="25"/>
  <c r="AA17" i="25" s="1"/>
  <c r="M11" i="22" l="1"/>
  <c r="Z11" i="22"/>
  <c r="H12" i="22" l="1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2" i="22"/>
  <c r="H34" i="22"/>
  <c r="H35" i="22"/>
  <c r="H36" i="22"/>
  <c r="H37" i="22"/>
  <c r="H38" i="22"/>
  <c r="H39" i="22"/>
  <c r="AB12" i="22"/>
  <c r="AB13" i="22"/>
  <c r="AB14" i="22"/>
  <c r="AB15" i="22"/>
  <c r="AB16" i="22"/>
  <c r="AB17" i="22"/>
  <c r="AB18" i="22"/>
  <c r="AB19" i="22"/>
  <c r="AB20" i="22"/>
  <c r="AB21" i="22"/>
  <c r="AB22" i="22"/>
  <c r="AB23" i="22"/>
  <c r="AB24" i="22"/>
  <c r="AB25" i="22"/>
  <c r="AB26" i="22"/>
  <c r="AB27" i="22"/>
  <c r="AB28" i="22"/>
  <c r="AB29" i="22"/>
  <c r="AB32" i="22"/>
  <c r="AB34" i="22"/>
  <c r="AB35" i="22"/>
  <c r="AB36" i="22"/>
  <c r="AB37" i="22"/>
  <c r="AB38" i="22"/>
  <c r="AB39" i="22"/>
  <c r="AB11" i="22"/>
  <c r="Z12" i="22"/>
  <c r="Z13" i="22"/>
  <c r="Z14" i="22"/>
  <c r="Z15" i="22"/>
  <c r="Z16" i="22"/>
  <c r="Z17" i="22"/>
  <c r="Z18" i="22"/>
  <c r="Z19" i="22"/>
  <c r="Z20" i="22"/>
  <c r="Z21" i="22"/>
  <c r="Z22" i="22"/>
  <c r="Z23" i="22"/>
  <c r="Z24" i="22"/>
  <c r="Z25" i="22"/>
  <c r="Z26" i="22"/>
  <c r="Z27" i="22"/>
  <c r="Z28" i="22"/>
  <c r="Z29" i="22"/>
  <c r="Z32" i="22"/>
  <c r="Z34" i="22"/>
  <c r="Z35" i="22"/>
  <c r="Z36" i="22"/>
  <c r="Z37" i="22"/>
  <c r="Z38" i="22"/>
  <c r="Z39" i="22"/>
  <c r="Q12" i="22"/>
  <c r="Q13" i="22"/>
  <c r="Q14" i="22"/>
  <c r="Q15" i="22"/>
  <c r="Q16" i="22"/>
  <c r="Q17" i="22"/>
  <c r="Q18" i="22"/>
  <c r="Q19" i="22"/>
  <c r="Q20" i="22"/>
  <c r="Q21" i="22"/>
  <c r="Q22" i="22"/>
  <c r="Q23" i="22"/>
  <c r="Q24" i="22"/>
  <c r="Q25" i="22"/>
  <c r="Q26" i="22"/>
  <c r="Q27" i="22"/>
  <c r="Q28" i="22"/>
  <c r="Q29" i="22"/>
  <c r="Q32" i="22"/>
  <c r="Q34" i="22"/>
  <c r="Q35" i="22"/>
  <c r="Q36" i="22"/>
  <c r="Q37" i="22"/>
  <c r="Q38" i="22"/>
  <c r="Q39" i="22"/>
  <c r="Q11" i="22"/>
  <c r="H11" i="22"/>
  <c r="O12" i="22"/>
  <c r="O13" i="22"/>
  <c r="O14" i="22"/>
  <c r="O15" i="22"/>
  <c r="O16" i="22"/>
  <c r="O17" i="22"/>
  <c r="O18" i="22"/>
  <c r="O19" i="22"/>
  <c r="O20" i="22"/>
  <c r="O21" i="22"/>
  <c r="O22" i="22"/>
  <c r="O23" i="22"/>
  <c r="O24" i="22"/>
  <c r="O25" i="22"/>
  <c r="O26" i="22"/>
  <c r="O27" i="22"/>
  <c r="O28" i="22"/>
  <c r="O29" i="22"/>
  <c r="O32" i="22"/>
  <c r="O34" i="22"/>
  <c r="O35" i="22"/>
  <c r="O36" i="22"/>
  <c r="O37" i="22"/>
  <c r="O38" i="22"/>
  <c r="O39" i="22"/>
  <c r="O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7" i="22"/>
  <c r="M28" i="22"/>
  <c r="M29" i="22"/>
  <c r="M32" i="22"/>
  <c r="M34" i="22"/>
  <c r="M35" i="22"/>
  <c r="M36" i="22"/>
  <c r="M37" i="22"/>
  <c r="M38" i="22"/>
  <c r="M39" i="22"/>
  <c r="Z10" i="22" l="1"/>
  <c r="Q10" i="22"/>
  <c r="M10" i="22" a="1"/>
  <c r="M10" i="22" s="1"/>
  <c r="O10" i="22"/>
  <c r="AB10" i="22"/>
  <c r="R14" i="22"/>
  <c r="R38" i="22"/>
  <c r="S38" i="22" s="1"/>
  <c r="R27" i="22"/>
  <c r="S27" i="22" s="1"/>
  <c r="R20" i="22"/>
  <c r="S20" i="22" s="1"/>
  <c r="R17" i="22"/>
  <c r="S17" i="22" s="1"/>
  <c r="R18" i="22"/>
  <c r="S18" i="22" s="1"/>
  <c r="R39" i="22"/>
  <c r="S39" i="22" s="1"/>
  <c r="R35" i="22"/>
  <c r="S35" i="22" s="1"/>
  <c r="AK35" i="22" s="1"/>
  <c r="R11" i="22"/>
  <c r="R36" i="22"/>
  <c r="S36" i="22" s="1"/>
  <c r="AJ36" i="22" s="1"/>
  <c r="R25" i="22"/>
  <c r="S25" i="22" s="1"/>
  <c r="R37" i="22"/>
  <c r="S37" i="22" s="1"/>
  <c r="AK37" i="22" s="1"/>
  <c r="R32" i="22"/>
  <c r="S32" i="22" s="1"/>
  <c r="R23" i="22"/>
  <c r="S23" i="22" s="1"/>
  <c r="R13" i="22"/>
  <c r="S13" i="22" s="1"/>
  <c r="R29" i="22"/>
  <c r="S29" i="22" s="1"/>
  <c r="R21" i="22"/>
  <c r="S21" i="22" s="1"/>
  <c r="AI21" i="22" s="1"/>
  <c r="R15" i="22"/>
  <c r="S15" i="22" s="1"/>
  <c r="R26" i="22"/>
  <c r="S26" i="22" s="1"/>
  <c r="AK26" i="22" s="1"/>
  <c r="R28" i="22"/>
  <c r="S28" i="22" s="1"/>
  <c r="R24" i="22"/>
  <c r="S24" i="22" s="1"/>
  <c r="AJ24" i="22" s="1"/>
  <c r="R19" i="22"/>
  <c r="S19" i="22" s="1"/>
  <c r="R16" i="22"/>
  <c r="S16" i="22" s="1"/>
  <c r="AJ16" i="22" s="1"/>
  <c r="S14" i="22"/>
  <c r="AJ14" i="22" s="1"/>
  <c r="R34" i="22"/>
  <c r="S34" i="22" s="1"/>
  <c r="AK34" i="22" s="1"/>
  <c r="R12" i="22"/>
  <c r="S12" i="22" s="1"/>
  <c r="R22" i="22"/>
  <c r="S22" i="22" s="1"/>
  <c r="AI22" i="22" s="1"/>
  <c r="J17" i="21"/>
  <c r="L17" i="21"/>
  <c r="O17" i="21"/>
  <c r="P17" i="21"/>
  <c r="Q17" i="21"/>
  <c r="R17" i="21"/>
  <c r="S17" i="21"/>
  <c r="T17" i="21"/>
  <c r="U17" i="21"/>
  <c r="W17" i="21"/>
  <c r="X17" i="21"/>
  <c r="AM39" i="22" l="1"/>
  <c r="S11" i="22"/>
  <c r="R10" i="22"/>
  <c r="AI27" i="22"/>
  <c r="AK15" i="22"/>
  <c r="T39" i="22"/>
  <c r="AJ38" i="22"/>
  <c r="AJ10" i="22" s="1"/>
  <c r="AI29" i="22"/>
  <c r="AI23" i="22"/>
  <c r="T18" i="22"/>
  <c r="AK13" i="22"/>
  <c r="AI12" i="22"/>
  <c r="AI19" i="22"/>
  <c r="AE18" i="22"/>
  <c r="AK18" i="22"/>
  <c r="AE28" i="22"/>
  <c r="AK28" i="22"/>
  <c r="T25" i="22"/>
  <c r="AI25" i="22"/>
  <c r="T35" i="22"/>
  <c r="AE35" i="22"/>
  <c r="AE39" i="22"/>
  <c r="AE25" i="22"/>
  <c r="T19" i="22"/>
  <c r="AE19" i="22"/>
  <c r="T26" i="22"/>
  <c r="AE26" i="22"/>
  <c r="AE36" i="22"/>
  <c r="T36" i="22"/>
  <c r="AE16" i="22"/>
  <c r="T16" i="22"/>
  <c r="T34" i="22"/>
  <c r="AE34" i="22"/>
  <c r="AE37" i="22"/>
  <c r="T37" i="22"/>
  <c r="AE29" i="22"/>
  <c r="T29" i="22"/>
  <c r="T23" i="22"/>
  <c r="AE23" i="22"/>
  <c r="AE32" i="22"/>
  <c r="T32" i="22"/>
  <c r="AE11" i="22"/>
  <c r="T11" i="22"/>
  <c r="T27" i="22"/>
  <c r="AE27" i="22"/>
  <c r="T28" i="22"/>
  <c r="AE17" i="22"/>
  <c r="T17" i="22"/>
  <c r="T38" i="22"/>
  <c r="AM38" i="22" s="1"/>
  <c r="AE38" i="22"/>
  <c r="AE14" i="22"/>
  <c r="T14" i="22"/>
  <c r="AE15" i="22"/>
  <c r="T15" i="22"/>
  <c r="T24" i="22"/>
  <c r="AE24" i="22"/>
  <c r="AE20" i="22"/>
  <c r="T20" i="22"/>
  <c r="AE21" i="22"/>
  <c r="T21" i="22"/>
  <c r="AE13" i="22"/>
  <c r="T13" i="22"/>
  <c r="AE12" i="22"/>
  <c r="T12" i="22"/>
  <c r="T22" i="22"/>
  <c r="AE22" i="22"/>
  <c r="T10" i="22" l="1"/>
  <c r="AE10" i="22"/>
  <c r="AK10" i="22"/>
  <c r="S10" i="22"/>
  <c r="AI11" i="22"/>
  <c r="AI10" i="22" s="1"/>
  <c r="AM12" i="22"/>
  <c r="AM21" i="22"/>
  <c r="AN21" i="22" s="1"/>
  <c r="AM14" i="22"/>
  <c r="AN14" i="22" s="1"/>
  <c r="AM17" i="22"/>
  <c r="AN17" i="22" s="1"/>
  <c r="AM27" i="22"/>
  <c r="AN27" i="22" s="1"/>
  <c r="AM32" i="22"/>
  <c r="AN32" i="22" s="1"/>
  <c r="AM34" i="22"/>
  <c r="AN34" i="22" s="1"/>
  <c r="AM35" i="22"/>
  <c r="AN35" i="22" s="1"/>
  <c r="AM20" i="22"/>
  <c r="AN20" i="22" s="1"/>
  <c r="AM15" i="22"/>
  <c r="AN15" i="22" s="1"/>
  <c r="AM23" i="22"/>
  <c r="AN23" i="22" s="1"/>
  <c r="AM18" i="22"/>
  <c r="AN18" i="22" s="1"/>
  <c r="AM28" i="22"/>
  <c r="AN28" i="22" s="1"/>
  <c r="AM24" i="22"/>
  <c r="AN24" i="22" s="1"/>
  <c r="AN38" i="22"/>
  <c r="AM29" i="22"/>
  <c r="AN29" i="22" s="1"/>
  <c r="AM16" i="22"/>
  <c r="AN16" i="22" s="1"/>
  <c r="AM36" i="22"/>
  <c r="AN36" i="22" s="1"/>
  <c r="AN39" i="22"/>
  <c r="AM37" i="22"/>
  <c r="AN37" i="22" s="1"/>
  <c r="AM26" i="22"/>
  <c r="AN26" i="22" s="1"/>
  <c r="AM25" i="22"/>
  <c r="AN25" i="22" s="1"/>
  <c r="AM22" i="22"/>
  <c r="AN22" i="22" s="1"/>
  <c r="AM19" i="22"/>
  <c r="AN19" i="22" s="1"/>
  <c r="AM13" i="22"/>
  <c r="AN13" i="22" s="1"/>
  <c r="AM11" i="22" l="1"/>
  <c r="AN12" i="22"/>
  <c r="K18" i="21"/>
  <c r="U131" i="19"/>
  <c r="Q131" i="19"/>
  <c r="L131" i="19"/>
  <c r="L133" i="19" s="1"/>
  <c r="I131" i="19"/>
  <c r="I133" i="19" s="1"/>
  <c r="C131" i="19"/>
  <c r="C133" i="19" s="1"/>
  <c r="M130" i="19"/>
  <c r="H130" i="19"/>
  <c r="J130" i="19" s="1"/>
  <c r="K130" i="19" s="1"/>
  <c r="N129" i="19"/>
  <c r="H129" i="19"/>
  <c r="J129" i="19" s="1"/>
  <c r="K129" i="19" s="1"/>
  <c r="H128" i="19"/>
  <c r="J128" i="19" s="1"/>
  <c r="K128" i="19" s="1"/>
  <c r="H127" i="19"/>
  <c r="J127" i="19" s="1"/>
  <c r="H126" i="19"/>
  <c r="J126" i="19" s="1"/>
  <c r="K126" i="19" s="1"/>
  <c r="W126" i="19" s="1"/>
  <c r="X126" i="19" s="1"/>
  <c r="H125" i="19"/>
  <c r="J125" i="19" s="1"/>
  <c r="K125" i="19" s="1"/>
  <c r="H124" i="19"/>
  <c r="J124" i="19" s="1"/>
  <c r="K124" i="19" s="1"/>
  <c r="H123" i="19"/>
  <c r="J123" i="19" s="1"/>
  <c r="H122" i="19"/>
  <c r="J122" i="19" s="1"/>
  <c r="K122" i="19" s="1"/>
  <c r="H121" i="19"/>
  <c r="J121" i="19" s="1"/>
  <c r="H120" i="19"/>
  <c r="J120" i="19" s="1"/>
  <c r="K120" i="19" s="1"/>
  <c r="H119" i="19"/>
  <c r="J119" i="19" s="1"/>
  <c r="K119" i="19" s="1"/>
  <c r="W119" i="19" s="1"/>
  <c r="X119" i="19" s="1"/>
  <c r="H118" i="19"/>
  <c r="J118" i="19" s="1"/>
  <c r="K118" i="19" s="1"/>
  <c r="H117" i="19"/>
  <c r="J117" i="19" s="1"/>
  <c r="P117" i="19" s="1"/>
  <c r="M116" i="19"/>
  <c r="H116" i="19"/>
  <c r="J116" i="19" s="1"/>
  <c r="K116" i="19" s="1"/>
  <c r="M115" i="19"/>
  <c r="H115" i="19"/>
  <c r="J115" i="19" s="1"/>
  <c r="H114" i="19"/>
  <c r="J114" i="19" s="1"/>
  <c r="H113" i="19"/>
  <c r="J113" i="19" s="1"/>
  <c r="K113" i="19" s="1"/>
  <c r="H112" i="19"/>
  <c r="J112" i="19" s="1"/>
  <c r="K112" i="19" s="1"/>
  <c r="H111" i="19"/>
  <c r="J111" i="19" s="1"/>
  <c r="K111" i="19" s="1"/>
  <c r="W111" i="19" s="1"/>
  <c r="X111" i="19" s="1"/>
  <c r="H110" i="19"/>
  <c r="J110" i="19" s="1"/>
  <c r="M109" i="19"/>
  <c r="H109" i="19"/>
  <c r="J109" i="19" s="1"/>
  <c r="K109" i="19" s="1"/>
  <c r="M108" i="19"/>
  <c r="H108" i="19"/>
  <c r="J108" i="19" s="1"/>
  <c r="K108" i="19" s="1"/>
  <c r="M107" i="19"/>
  <c r="H107" i="19"/>
  <c r="J107" i="19" s="1"/>
  <c r="M106" i="19"/>
  <c r="H106" i="19"/>
  <c r="J106" i="19" s="1"/>
  <c r="K106" i="19" s="1"/>
  <c r="M105" i="19"/>
  <c r="H105" i="19"/>
  <c r="J105" i="19" s="1"/>
  <c r="M104" i="19"/>
  <c r="H104" i="19"/>
  <c r="J104" i="19" s="1"/>
  <c r="M103" i="19"/>
  <c r="H103" i="19"/>
  <c r="J103" i="19" s="1"/>
  <c r="K103" i="19" s="1"/>
  <c r="M102" i="19"/>
  <c r="H102" i="19"/>
  <c r="J102" i="19" s="1"/>
  <c r="K102" i="19" s="1"/>
  <c r="M101" i="19"/>
  <c r="H101" i="19"/>
  <c r="J101" i="19" s="1"/>
  <c r="K101" i="19" s="1"/>
  <c r="M100" i="19"/>
  <c r="H100" i="19"/>
  <c r="J100" i="19" s="1"/>
  <c r="K100" i="19" s="1"/>
  <c r="M99" i="19"/>
  <c r="H99" i="19"/>
  <c r="J99" i="19" s="1"/>
  <c r="K99" i="19" s="1"/>
  <c r="M98" i="19"/>
  <c r="H98" i="19"/>
  <c r="J98" i="19" s="1"/>
  <c r="K98" i="19" s="1"/>
  <c r="M97" i="19"/>
  <c r="H97" i="19"/>
  <c r="J97" i="19" s="1"/>
  <c r="K97" i="19" s="1"/>
  <c r="M96" i="19"/>
  <c r="H96" i="19"/>
  <c r="J96" i="19" s="1"/>
  <c r="H95" i="19"/>
  <c r="J95" i="19" s="1"/>
  <c r="H94" i="19"/>
  <c r="J94" i="19" s="1"/>
  <c r="K94" i="19" s="1"/>
  <c r="W94" i="19" s="1"/>
  <c r="X94" i="19" s="1"/>
  <c r="H93" i="19"/>
  <c r="J93" i="19" s="1"/>
  <c r="M92" i="19"/>
  <c r="H92" i="19"/>
  <c r="J92" i="19" s="1"/>
  <c r="K92" i="19" s="1"/>
  <c r="H91" i="19"/>
  <c r="J91" i="19" s="1"/>
  <c r="K91" i="19" s="1"/>
  <c r="H90" i="19"/>
  <c r="J90" i="19" s="1"/>
  <c r="K90" i="19" s="1"/>
  <c r="M89" i="19"/>
  <c r="H89" i="19"/>
  <c r="J89" i="19" s="1"/>
  <c r="M88" i="19"/>
  <c r="H88" i="19"/>
  <c r="J88" i="19" s="1"/>
  <c r="K88" i="19" s="1"/>
  <c r="H87" i="19"/>
  <c r="J87" i="19" s="1"/>
  <c r="H86" i="19"/>
  <c r="J86" i="19"/>
  <c r="P86" i="19" s="1"/>
  <c r="H85" i="19"/>
  <c r="J85" i="19" s="1"/>
  <c r="H84" i="19"/>
  <c r="J84" i="19" s="1"/>
  <c r="H83" i="19"/>
  <c r="J83" i="19" s="1"/>
  <c r="K83" i="19" s="1"/>
  <c r="H82" i="19"/>
  <c r="J82" i="19" s="1"/>
  <c r="H81" i="19"/>
  <c r="J81" i="19" s="1"/>
  <c r="K81" i="19" s="1"/>
  <c r="H80" i="19"/>
  <c r="J80" i="19" s="1"/>
  <c r="H79" i="19"/>
  <c r="J79" i="19" s="1"/>
  <c r="K79" i="19" s="1"/>
  <c r="H78" i="19"/>
  <c r="J78" i="19" s="1"/>
  <c r="H77" i="19"/>
  <c r="J77" i="19" s="1"/>
  <c r="K77" i="19" s="1"/>
  <c r="H76" i="19"/>
  <c r="J76" i="19" s="1"/>
  <c r="O76" i="19" s="1"/>
  <c r="H75" i="19"/>
  <c r="J75" i="19" s="1"/>
  <c r="O75" i="19" s="1"/>
  <c r="H74" i="19"/>
  <c r="R74" i="19" s="1"/>
  <c r="R131" i="19" s="1"/>
  <c r="H73" i="19"/>
  <c r="S73" i="19" s="1"/>
  <c r="H72" i="19"/>
  <c r="J72" i="19" s="1"/>
  <c r="H71" i="19"/>
  <c r="J71" i="19" s="1"/>
  <c r="K71" i="19" s="1"/>
  <c r="H70" i="19"/>
  <c r="J70" i="19" s="1"/>
  <c r="H69" i="19"/>
  <c r="J69" i="19" s="1"/>
  <c r="T69" i="19" s="1"/>
  <c r="H68" i="19"/>
  <c r="J68" i="19" s="1"/>
  <c r="H67" i="19"/>
  <c r="J67" i="19" s="1"/>
  <c r="H66" i="19"/>
  <c r="J66" i="19" s="1"/>
  <c r="K66" i="19" s="1"/>
  <c r="W66" i="19" s="1"/>
  <c r="X66" i="19" s="1"/>
  <c r="H65" i="19"/>
  <c r="S65" i="19" s="1"/>
  <c r="H64" i="19"/>
  <c r="J64" i="19" s="1"/>
  <c r="H63" i="19"/>
  <c r="J63" i="19" s="1"/>
  <c r="H62" i="19"/>
  <c r="J62" i="19" s="1"/>
  <c r="H61" i="19"/>
  <c r="H60" i="19"/>
  <c r="J60" i="19" s="1"/>
  <c r="H59" i="19"/>
  <c r="J59" i="19" s="1"/>
  <c r="K59" i="19" s="1"/>
  <c r="H58" i="19"/>
  <c r="J58" i="19" s="1"/>
  <c r="K58" i="19" s="1"/>
  <c r="H57" i="19"/>
  <c r="J57" i="19" s="1"/>
  <c r="H56" i="19"/>
  <c r="J56" i="19" s="1"/>
  <c r="K56" i="19" s="1"/>
  <c r="H55" i="19"/>
  <c r="J55" i="19" s="1"/>
  <c r="H54" i="19"/>
  <c r="J54" i="19" s="1"/>
  <c r="T54" i="19" s="1"/>
  <c r="H53" i="19"/>
  <c r="J53" i="19" s="1"/>
  <c r="K53" i="19" s="1"/>
  <c r="H52" i="19"/>
  <c r="J52" i="19" s="1"/>
  <c r="K52" i="19" s="1"/>
  <c r="H51" i="19"/>
  <c r="J51" i="19" s="1"/>
  <c r="T51" i="19" s="1"/>
  <c r="H50" i="19"/>
  <c r="J50" i="19" s="1"/>
  <c r="H49" i="19"/>
  <c r="J49" i="19" s="1"/>
  <c r="H48" i="19"/>
  <c r="J48" i="19" s="1"/>
  <c r="K48" i="19" s="1"/>
  <c r="H47" i="19"/>
  <c r="J47" i="19" s="1"/>
  <c r="K47" i="19" s="1"/>
  <c r="H46" i="19"/>
  <c r="J46" i="19" s="1"/>
  <c r="K46" i="19" s="1"/>
  <c r="W46" i="19" s="1"/>
  <c r="X46" i="19" s="1"/>
  <c r="H45" i="19"/>
  <c r="J45" i="19" s="1"/>
  <c r="K45" i="19" s="1"/>
  <c r="H44" i="19"/>
  <c r="J44" i="19" s="1"/>
  <c r="K44" i="19" s="1"/>
  <c r="H43" i="19"/>
  <c r="J43" i="19" s="1"/>
  <c r="K43" i="19" s="1"/>
  <c r="W43" i="19" s="1"/>
  <c r="X43" i="19" s="1"/>
  <c r="H42" i="19"/>
  <c r="J42" i="19" s="1"/>
  <c r="H41" i="19"/>
  <c r="J41" i="19" s="1"/>
  <c r="K41" i="19" s="1"/>
  <c r="M40" i="19"/>
  <c r="H40" i="19"/>
  <c r="J40" i="19" s="1"/>
  <c r="H39" i="19"/>
  <c r="J39" i="19" s="1"/>
  <c r="K39" i="19" s="1"/>
  <c r="H38" i="19"/>
  <c r="J38" i="19" s="1"/>
  <c r="H37" i="19"/>
  <c r="J37" i="19" s="1"/>
  <c r="K37" i="19" s="1"/>
  <c r="W37" i="19" s="1"/>
  <c r="X37" i="19" s="1"/>
  <c r="H36" i="19"/>
  <c r="J36" i="19" s="1"/>
  <c r="K36" i="19" s="1"/>
  <c r="W36" i="19" s="1"/>
  <c r="X36" i="19" s="1"/>
  <c r="H35" i="19"/>
  <c r="J35" i="19" s="1"/>
  <c r="K35" i="19" s="1"/>
  <c r="H34" i="19"/>
  <c r="J34" i="19" s="1"/>
  <c r="K34" i="19" s="1"/>
  <c r="H33" i="19"/>
  <c r="J33" i="19" s="1"/>
  <c r="K33" i="19" s="1"/>
  <c r="W33" i="19" s="1"/>
  <c r="X33" i="19" s="1"/>
  <c r="H32" i="19"/>
  <c r="J32" i="19" s="1"/>
  <c r="K32" i="19" s="1"/>
  <c r="H31" i="19"/>
  <c r="J31" i="19" s="1"/>
  <c r="H30" i="19"/>
  <c r="J30" i="19" s="1"/>
  <c r="K30" i="19" s="1"/>
  <c r="H29" i="19"/>
  <c r="J29" i="19" s="1"/>
  <c r="K29" i="19" s="1"/>
  <c r="W29" i="19" s="1"/>
  <c r="X29" i="19" s="1"/>
  <c r="H28" i="19"/>
  <c r="J28" i="19" s="1"/>
  <c r="H27" i="19"/>
  <c r="J27" i="19" s="1"/>
  <c r="H26" i="19"/>
  <c r="J26" i="19" s="1"/>
  <c r="K26" i="19" s="1"/>
  <c r="H25" i="19"/>
  <c r="J25" i="19" s="1"/>
  <c r="K25" i="19" s="1"/>
  <c r="W25" i="19" s="1"/>
  <c r="X25" i="19" s="1"/>
  <c r="H24" i="19"/>
  <c r="J24" i="19" s="1"/>
  <c r="H23" i="19"/>
  <c r="J23" i="19" s="1"/>
  <c r="K23" i="19" s="1"/>
  <c r="H22" i="19"/>
  <c r="J22" i="19" s="1"/>
  <c r="H21" i="19"/>
  <c r="J21" i="19" s="1"/>
  <c r="H20" i="19"/>
  <c r="J20" i="19" s="1"/>
  <c r="K20" i="19" s="1"/>
  <c r="W20" i="19" s="1"/>
  <c r="X20" i="19" s="1"/>
  <c r="H19" i="19"/>
  <c r="J19" i="19" s="1"/>
  <c r="H18" i="19"/>
  <c r="J18" i="19" s="1"/>
  <c r="H17" i="19"/>
  <c r="J17" i="19" s="1"/>
  <c r="H16" i="19"/>
  <c r="J16" i="19" s="1"/>
  <c r="K16" i="19" s="1"/>
  <c r="H15" i="19"/>
  <c r="J15" i="19" s="1"/>
  <c r="H14" i="19"/>
  <c r="J14" i="19" s="1"/>
  <c r="H13" i="19"/>
  <c r="J13" i="19" s="1"/>
  <c r="H12" i="19"/>
  <c r="J12" i="19" s="1"/>
  <c r="K12" i="19" s="1"/>
  <c r="W12" i="19" s="1"/>
  <c r="X12" i="19" s="1"/>
  <c r="Q117" i="2"/>
  <c r="L117" i="2"/>
  <c r="N117" i="2" s="1"/>
  <c r="O117" i="2" s="1"/>
  <c r="M23" i="18"/>
  <c r="AN23" i="18" s="1"/>
  <c r="M25" i="18"/>
  <c r="AN25" i="18" s="1"/>
  <c r="M27" i="18"/>
  <c r="AN27" i="18" s="1"/>
  <c r="M29" i="18"/>
  <c r="AN29" i="18" s="1"/>
  <c r="M31" i="18"/>
  <c r="AN31" i="18" s="1"/>
  <c r="M33" i="18"/>
  <c r="AN33" i="18" s="1"/>
  <c r="M35" i="18"/>
  <c r="AN35" i="18" s="1"/>
  <c r="M37" i="18"/>
  <c r="AN37" i="18" s="1"/>
  <c r="M39" i="18"/>
  <c r="AN39" i="18" s="1"/>
  <c r="M41" i="18"/>
  <c r="AN41" i="18" s="1"/>
  <c r="M43" i="18"/>
  <c r="AN43" i="18" s="1"/>
  <c r="M45" i="18"/>
  <c r="AN45" i="18" s="1"/>
  <c r="M47" i="18"/>
  <c r="AN47" i="18" s="1"/>
  <c r="M49" i="18"/>
  <c r="AN49" i="18" s="1"/>
  <c r="M51" i="18"/>
  <c r="AN51" i="18" s="1"/>
  <c r="M53" i="18"/>
  <c r="AN53" i="18" s="1"/>
  <c r="M55" i="18"/>
  <c r="AN55" i="18" s="1"/>
  <c r="M57" i="18"/>
  <c r="AN57" i="18" s="1"/>
  <c r="M59" i="18"/>
  <c r="AN59" i="18" s="1"/>
  <c r="M61" i="18"/>
  <c r="AN61" i="18" s="1"/>
  <c r="M63" i="18"/>
  <c r="AN63" i="18" s="1"/>
  <c r="M65" i="18"/>
  <c r="AN65" i="18" s="1"/>
  <c r="M67" i="18"/>
  <c r="AN67" i="18" s="1"/>
  <c r="M69" i="18"/>
  <c r="AN69" i="18" s="1"/>
  <c r="M71" i="18"/>
  <c r="AN71" i="18" s="1"/>
  <c r="M73" i="18"/>
  <c r="AN73" i="18" s="1"/>
  <c r="M75" i="18"/>
  <c r="AN75" i="18" s="1"/>
  <c r="M77" i="18"/>
  <c r="AN77" i="18" s="1"/>
  <c r="M79" i="18"/>
  <c r="AN79" i="18" s="1"/>
  <c r="M81" i="18"/>
  <c r="AN81" i="18" s="1"/>
  <c r="M83" i="18"/>
  <c r="AN83" i="18" s="1"/>
  <c r="M85" i="18"/>
  <c r="AN85" i="18" s="1"/>
  <c r="M87" i="18"/>
  <c r="AN87" i="18" s="1"/>
  <c r="Q90" i="2"/>
  <c r="Q89" i="2"/>
  <c r="AF69" i="18"/>
  <c r="AF52" i="18"/>
  <c r="AF48" i="18"/>
  <c r="AF46" i="18"/>
  <c r="AF44" i="18"/>
  <c r="AF42" i="18"/>
  <c r="AF41" i="18"/>
  <c r="AE24" i="18"/>
  <c r="AE31" i="18"/>
  <c r="AE32" i="18"/>
  <c r="AE36" i="18"/>
  <c r="AE37" i="18"/>
  <c r="AE38" i="18"/>
  <c r="AE43" i="18"/>
  <c r="AE44" i="18"/>
  <c r="AE45" i="18"/>
  <c r="AE46" i="18"/>
  <c r="AE49" i="18"/>
  <c r="AE50" i="18"/>
  <c r="AE51" i="18"/>
  <c r="AE52" i="18"/>
  <c r="AE53" i="18"/>
  <c r="AE56" i="18"/>
  <c r="AE61" i="18"/>
  <c r="AE62" i="18"/>
  <c r="AE64" i="18"/>
  <c r="AE68" i="18"/>
  <c r="AE69" i="18"/>
  <c r="AE70" i="18"/>
  <c r="AE71" i="18"/>
  <c r="AE72" i="18"/>
  <c r="AE74" i="18"/>
  <c r="AE75" i="18"/>
  <c r="AE76" i="18"/>
  <c r="AE77" i="18"/>
  <c r="AE78" i="18"/>
  <c r="AE79" i="18"/>
  <c r="AE80" i="18"/>
  <c r="AE81" i="18"/>
  <c r="AE82" i="18"/>
  <c r="AE83" i="18"/>
  <c r="AE84" i="18"/>
  <c r="AE87" i="18"/>
  <c r="AE88" i="18"/>
  <c r="AB84" i="18"/>
  <c r="AB71" i="18"/>
  <c r="AB53" i="18"/>
  <c r="AB50" i="18"/>
  <c r="AB46" i="18"/>
  <c r="AB44" i="18"/>
  <c r="AB38" i="18"/>
  <c r="Z25" i="18"/>
  <c r="Z26" i="18"/>
  <c r="Z27" i="18"/>
  <c r="Z28" i="18"/>
  <c r="Z29" i="18"/>
  <c r="Z30" i="18"/>
  <c r="Z31" i="18"/>
  <c r="Z32" i="18"/>
  <c r="Z33" i="18"/>
  <c r="Z34" i="18"/>
  <c r="Z36" i="18"/>
  <c r="Z37" i="18"/>
  <c r="Z40" i="18"/>
  <c r="Z44" i="18"/>
  <c r="Z45" i="18"/>
  <c r="Z47" i="18"/>
  <c r="Z48" i="18"/>
  <c r="Z49" i="18"/>
  <c r="Z50" i="18"/>
  <c r="Z51" i="18"/>
  <c r="Z52" i="18"/>
  <c r="Z53" i="18"/>
  <c r="Z56" i="18"/>
  <c r="Z61" i="18"/>
  <c r="Z64" i="18"/>
  <c r="Z68" i="18"/>
  <c r="Z72" i="18"/>
  <c r="Z76" i="18"/>
  <c r="Z79" i="18"/>
  <c r="Z88" i="18"/>
  <c r="M22" i="18"/>
  <c r="AN22" i="18" s="1"/>
  <c r="M24" i="18"/>
  <c r="AN24" i="18" s="1"/>
  <c r="M26" i="18"/>
  <c r="AN26" i="18" s="1"/>
  <c r="M28" i="18"/>
  <c r="AN28" i="18" s="1"/>
  <c r="M30" i="18"/>
  <c r="AN30" i="18" s="1"/>
  <c r="M32" i="18"/>
  <c r="AN32" i="18" s="1"/>
  <c r="M34" i="18"/>
  <c r="AN34" i="18" s="1"/>
  <c r="M36" i="18"/>
  <c r="AN36" i="18" s="1"/>
  <c r="M38" i="18"/>
  <c r="AN38" i="18" s="1"/>
  <c r="M40" i="18"/>
  <c r="AN40" i="18" s="1"/>
  <c r="M42" i="18"/>
  <c r="AN42" i="18" s="1"/>
  <c r="M44" i="18"/>
  <c r="AN44" i="18" s="1"/>
  <c r="M46" i="18"/>
  <c r="AN46" i="18" s="1"/>
  <c r="M48" i="18"/>
  <c r="AN48" i="18" s="1"/>
  <c r="M50" i="18"/>
  <c r="AN50" i="18" s="1"/>
  <c r="M52" i="18"/>
  <c r="AN52" i="18" s="1"/>
  <c r="M54" i="18"/>
  <c r="AN54" i="18" s="1"/>
  <c r="M56" i="18"/>
  <c r="AN56" i="18" s="1"/>
  <c r="M58" i="18"/>
  <c r="AN58" i="18" s="1"/>
  <c r="M60" i="18"/>
  <c r="AN60" i="18" s="1"/>
  <c r="M62" i="18"/>
  <c r="AN62" i="18" s="1"/>
  <c r="M64" i="18"/>
  <c r="AN64" i="18" s="1"/>
  <c r="M66" i="18"/>
  <c r="AN66" i="18" s="1"/>
  <c r="M68" i="18"/>
  <c r="AN68" i="18" s="1"/>
  <c r="M70" i="18"/>
  <c r="AN70" i="18" s="1"/>
  <c r="M72" i="18"/>
  <c r="AN72" i="18" s="1"/>
  <c r="M74" i="18"/>
  <c r="AN74" i="18" s="1"/>
  <c r="M76" i="18"/>
  <c r="AN76" i="18" s="1"/>
  <c r="M78" i="18"/>
  <c r="AN78" i="18" s="1"/>
  <c r="M80" i="18"/>
  <c r="AN80" i="18" s="1"/>
  <c r="M82" i="18"/>
  <c r="AN82" i="18" s="1"/>
  <c r="M84" i="18"/>
  <c r="AN84" i="18" s="1"/>
  <c r="M86" i="18"/>
  <c r="AN86" i="18" s="1"/>
  <c r="M88" i="18"/>
  <c r="AN88" i="18" s="1"/>
  <c r="L22" i="18"/>
  <c r="O22" i="18" s="1"/>
  <c r="S22" i="18" s="1"/>
  <c r="L23" i="18"/>
  <c r="O23" i="18" s="1"/>
  <c r="S23" i="18" s="1"/>
  <c r="L24" i="18"/>
  <c r="O24" i="18" s="1"/>
  <c r="L25" i="18"/>
  <c r="O25" i="18" s="1"/>
  <c r="S25" i="18" s="1"/>
  <c r="AI25" i="18" s="1"/>
  <c r="L26" i="18"/>
  <c r="O26" i="18" s="1"/>
  <c r="S26" i="18" s="1"/>
  <c r="T26" i="18" s="1"/>
  <c r="L27" i="18"/>
  <c r="L28" i="18"/>
  <c r="O28" i="18" s="1"/>
  <c r="S28" i="18" s="1"/>
  <c r="T28" i="18" s="1"/>
  <c r="L29" i="18"/>
  <c r="Q29" i="18" s="1"/>
  <c r="L30" i="18"/>
  <c r="O30" i="18" s="1"/>
  <c r="L31" i="18"/>
  <c r="L32" i="18"/>
  <c r="O32" i="18" s="1"/>
  <c r="S32" i="18" s="1"/>
  <c r="L33" i="18"/>
  <c r="O33" i="18" s="1"/>
  <c r="L34" i="18"/>
  <c r="Q34" i="18" s="1"/>
  <c r="L35" i="18"/>
  <c r="Q35" i="18" s="1"/>
  <c r="L36" i="18"/>
  <c r="O36" i="18" s="1"/>
  <c r="S36" i="18" s="1"/>
  <c r="L37" i="18"/>
  <c r="O37" i="18" s="1"/>
  <c r="S37" i="18" s="1"/>
  <c r="L38" i="18"/>
  <c r="O38" i="18" s="1"/>
  <c r="S38" i="18" s="1"/>
  <c r="L39" i="18"/>
  <c r="O39" i="18" s="1"/>
  <c r="L40" i="18"/>
  <c r="O40" i="18" s="1"/>
  <c r="S40" i="18" s="1"/>
  <c r="T40" i="18" s="1"/>
  <c r="L41" i="18"/>
  <c r="L42" i="18"/>
  <c r="Q42" i="18" s="1"/>
  <c r="S42" i="18" s="1"/>
  <c r="AC42" i="18" s="1"/>
  <c r="L43" i="18"/>
  <c r="Q43" i="18" s="1"/>
  <c r="L44" i="18"/>
  <c r="Q44" i="18" s="1"/>
  <c r="L45" i="18"/>
  <c r="Q45" i="18" s="1"/>
  <c r="S45" i="18" s="1"/>
  <c r="AC45" i="18" s="1"/>
  <c r="L46" i="18"/>
  <c r="Q46" i="18" s="1"/>
  <c r="L47" i="18"/>
  <c r="O47" i="18" s="1"/>
  <c r="S47" i="18" s="1"/>
  <c r="T47" i="18" s="1"/>
  <c r="L48" i="18"/>
  <c r="L49" i="18"/>
  <c r="O49" i="18" s="1"/>
  <c r="L50" i="18"/>
  <c r="Q50" i="18" s="1"/>
  <c r="L51" i="18"/>
  <c r="O51" i="18" s="1"/>
  <c r="S51" i="18" s="1"/>
  <c r="AC51" i="18" s="1"/>
  <c r="L52" i="18"/>
  <c r="O52" i="18" s="1"/>
  <c r="L53" i="18"/>
  <c r="Q53" i="18" s="1"/>
  <c r="L54" i="18"/>
  <c r="O54" i="18" s="1"/>
  <c r="S54" i="18" s="1"/>
  <c r="L55" i="18"/>
  <c r="O55" i="18" s="1"/>
  <c r="L56" i="18"/>
  <c r="O56" i="18" s="1"/>
  <c r="L57" i="18"/>
  <c r="O57" i="18" s="1"/>
  <c r="S57" i="18" s="1"/>
  <c r="L58" i="18"/>
  <c r="Q58" i="18" s="1"/>
  <c r="S58" i="18" s="1"/>
  <c r="L59" i="18"/>
  <c r="L60" i="18"/>
  <c r="O60" i="18" s="1"/>
  <c r="S60" i="18" s="1"/>
  <c r="AH60" i="18" s="1"/>
  <c r="L61" i="18"/>
  <c r="Q61" i="18" s="1"/>
  <c r="S61" i="18" s="1"/>
  <c r="AH61" i="18" s="1"/>
  <c r="L62" i="18"/>
  <c r="Q62" i="18" s="1"/>
  <c r="L63" i="18"/>
  <c r="Q63" i="18" s="1"/>
  <c r="S63" i="18" s="1"/>
  <c r="L64" i="18"/>
  <c r="O64" i="18" s="1"/>
  <c r="L65" i="18"/>
  <c r="Q65" i="18" s="1"/>
  <c r="S65" i="18" s="1"/>
  <c r="L66" i="18"/>
  <c r="O66" i="18" s="1"/>
  <c r="S66" i="18" s="1"/>
  <c r="L67" i="18"/>
  <c r="O67" i="18" s="1"/>
  <c r="S67" i="18" s="1"/>
  <c r="L68" i="18"/>
  <c r="O68" i="18" s="1"/>
  <c r="S68" i="18" s="1"/>
  <c r="L69" i="18"/>
  <c r="O69" i="18" s="1"/>
  <c r="S69" i="18" s="1"/>
  <c r="L70" i="18"/>
  <c r="Q70" i="18" s="1"/>
  <c r="S70" i="18" s="1"/>
  <c r="L71" i="18"/>
  <c r="O71" i="18" s="1"/>
  <c r="L72" i="18"/>
  <c r="O72" i="18" s="1"/>
  <c r="AG72" i="18" s="1"/>
  <c r="L73" i="18"/>
  <c r="O73" i="18" s="1"/>
  <c r="S73" i="18" s="1"/>
  <c r="L74" i="18"/>
  <c r="O74" i="18" s="1"/>
  <c r="S74" i="18" s="1"/>
  <c r="L75" i="18"/>
  <c r="O75" i="18" s="1"/>
  <c r="S75" i="18" s="1"/>
  <c r="L76" i="18"/>
  <c r="O76" i="18" s="1"/>
  <c r="S76" i="18" s="1"/>
  <c r="L77" i="18"/>
  <c r="O77" i="18" s="1"/>
  <c r="S77" i="18" s="1"/>
  <c r="L78" i="18"/>
  <c r="L79" i="18"/>
  <c r="O79" i="18" s="1"/>
  <c r="S79" i="18" s="1"/>
  <c r="L80" i="18"/>
  <c r="O80" i="18" s="1"/>
  <c r="S80" i="18" s="1"/>
  <c r="L81" i="18"/>
  <c r="O81" i="18" s="1"/>
  <c r="S81" i="18" s="1"/>
  <c r="L82" i="18"/>
  <c r="O82" i="18" s="1"/>
  <c r="S82" i="18" s="1"/>
  <c r="T82" i="18" s="1"/>
  <c r="L83" i="18"/>
  <c r="O83" i="18" s="1"/>
  <c r="S83" i="18" s="1"/>
  <c r="T83" i="18" s="1"/>
  <c r="L84" i="18"/>
  <c r="L85" i="18"/>
  <c r="O85" i="18" s="1"/>
  <c r="S85" i="18" s="1"/>
  <c r="L86" i="18"/>
  <c r="O86" i="18" s="1"/>
  <c r="S86" i="18" s="1"/>
  <c r="AC86" i="18" s="1"/>
  <c r="L87" i="18"/>
  <c r="O87" i="18" s="1"/>
  <c r="L88" i="18"/>
  <c r="O88" i="18" s="1"/>
  <c r="Q131" i="2"/>
  <c r="Q116" i="2"/>
  <c r="Q108" i="2"/>
  <c r="Q109" i="2"/>
  <c r="Q110" i="2"/>
  <c r="Q107" i="2"/>
  <c r="Q105" i="2"/>
  <c r="Q106" i="2"/>
  <c r="Q98" i="2"/>
  <c r="Q99" i="2"/>
  <c r="Q100" i="2"/>
  <c r="Q101" i="2"/>
  <c r="Q102" i="2"/>
  <c r="Q103" i="2"/>
  <c r="Q104" i="2"/>
  <c r="Q97" i="2"/>
  <c r="L14" i="2"/>
  <c r="N14" i="2" s="1"/>
  <c r="O14" i="2" s="1"/>
  <c r="L15" i="2"/>
  <c r="N15" i="2" s="1"/>
  <c r="Z15" i="2" s="1"/>
  <c r="L16" i="2"/>
  <c r="N16" i="2" s="1"/>
  <c r="O16" i="2" s="1"/>
  <c r="AA16" i="2" s="1"/>
  <c r="AB16" i="2" s="1"/>
  <c r="L17" i="2"/>
  <c r="N17" i="2" s="1"/>
  <c r="Z17" i="2" s="1"/>
  <c r="L18" i="2"/>
  <c r="N18" i="2" s="1"/>
  <c r="L19" i="2"/>
  <c r="N19" i="2" s="1"/>
  <c r="O19" i="2" s="1"/>
  <c r="L20" i="2"/>
  <c r="L21" i="2"/>
  <c r="N21" i="2" s="1"/>
  <c r="L22" i="2"/>
  <c r="N22" i="2" s="1"/>
  <c r="L23" i="2"/>
  <c r="N23" i="2" s="1"/>
  <c r="L24" i="2"/>
  <c r="N24" i="2" s="1"/>
  <c r="L25" i="2"/>
  <c r="N25" i="2" s="1"/>
  <c r="L26" i="2"/>
  <c r="N26" i="2" s="1"/>
  <c r="L27" i="2"/>
  <c r="N27" i="2" s="1"/>
  <c r="O27" i="2" s="1"/>
  <c r="L28" i="2"/>
  <c r="N28" i="2" s="1"/>
  <c r="O28" i="2" s="1"/>
  <c r="AA28" i="2" s="1"/>
  <c r="AB28" i="2" s="1"/>
  <c r="L29" i="2"/>
  <c r="N29" i="2" s="1"/>
  <c r="L30" i="2"/>
  <c r="N30" i="2" s="1"/>
  <c r="O30" i="2" s="1"/>
  <c r="AA30" i="2" s="1"/>
  <c r="AB30" i="2" s="1"/>
  <c r="L31" i="2"/>
  <c r="N31" i="2" s="1"/>
  <c r="L32" i="2"/>
  <c r="N32" i="2" s="1"/>
  <c r="L33" i="2"/>
  <c r="N33" i="2" s="1"/>
  <c r="L34" i="2"/>
  <c r="N34" i="2" s="1"/>
  <c r="O34" i="2" s="1"/>
  <c r="AA34" i="2" s="1"/>
  <c r="AB34" i="2" s="1"/>
  <c r="L35" i="2"/>
  <c r="N35" i="2" s="1"/>
  <c r="L36" i="2"/>
  <c r="N36" i="2" s="1"/>
  <c r="O36" i="2" s="1"/>
  <c r="L37" i="2"/>
  <c r="N37" i="2" s="1"/>
  <c r="L38" i="2"/>
  <c r="N38" i="2" s="1"/>
  <c r="L39" i="2"/>
  <c r="N39" i="2" s="1"/>
  <c r="L40" i="2"/>
  <c r="N40" i="2" s="1"/>
  <c r="L41" i="2"/>
  <c r="N41" i="2" s="1"/>
  <c r="L42" i="2"/>
  <c r="N42" i="2" s="1"/>
  <c r="L43" i="2"/>
  <c r="N43" i="2" s="1"/>
  <c r="L44" i="2"/>
  <c r="N44" i="2" s="1"/>
  <c r="L45" i="2"/>
  <c r="N45" i="2" s="1"/>
  <c r="O45" i="2" s="1"/>
  <c r="L46" i="2"/>
  <c r="N46" i="2" s="1"/>
  <c r="L47" i="2"/>
  <c r="N47" i="2" s="1"/>
  <c r="O47" i="2" s="1"/>
  <c r="AA47" i="2" s="1"/>
  <c r="AB47" i="2" s="1"/>
  <c r="L48" i="2"/>
  <c r="N48" i="2" s="1"/>
  <c r="O48" i="2" s="1"/>
  <c r="L49" i="2"/>
  <c r="N49" i="2" s="1"/>
  <c r="O49" i="2" s="1"/>
  <c r="AA49" i="2" s="1"/>
  <c r="AB49" i="2" s="1"/>
  <c r="L50" i="2"/>
  <c r="N50" i="2" s="1"/>
  <c r="O50" i="2" s="1"/>
  <c r="L51" i="2"/>
  <c r="N51" i="2" s="1"/>
  <c r="L52" i="2"/>
  <c r="N52" i="2" s="1"/>
  <c r="O52" i="2" s="1"/>
  <c r="L53" i="2"/>
  <c r="N53" i="2" s="1"/>
  <c r="X53" i="2" s="1"/>
  <c r="L54" i="2"/>
  <c r="N54" i="2" s="1"/>
  <c r="O54" i="2" s="1"/>
  <c r="L55" i="2"/>
  <c r="N55" i="2" s="1"/>
  <c r="X55" i="2" s="1"/>
  <c r="L56" i="2"/>
  <c r="N56" i="2" s="1"/>
  <c r="O56" i="2" s="1"/>
  <c r="L57" i="2"/>
  <c r="N57" i="2" s="1"/>
  <c r="L58" i="2"/>
  <c r="N58" i="2" s="1"/>
  <c r="L59" i="2"/>
  <c r="N59" i="2" s="1"/>
  <c r="L60" i="2"/>
  <c r="L61" i="2"/>
  <c r="N61" i="2" s="1"/>
  <c r="O61" i="2" s="1"/>
  <c r="L62" i="2"/>
  <c r="N62" i="2" s="1"/>
  <c r="O62" i="2" s="1"/>
  <c r="L63" i="2"/>
  <c r="N63" i="2" s="1"/>
  <c r="L64" i="2"/>
  <c r="N64" i="2" s="1"/>
  <c r="O64" i="2" s="1"/>
  <c r="L65" i="2"/>
  <c r="N65" i="2" s="1"/>
  <c r="L66" i="2"/>
  <c r="N66" i="2" s="1"/>
  <c r="L67" i="2"/>
  <c r="N67" i="2" s="1"/>
  <c r="L68" i="2"/>
  <c r="N68" i="2" s="1"/>
  <c r="L69" i="2"/>
  <c r="N69" i="2" s="1"/>
  <c r="O69" i="2" s="1"/>
  <c r="L70" i="2"/>
  <c r="N70" i="2" s="1"/>
  <c r="O70" i="2" s="1"/>
  <c r="L71" i="2"/>
  <c r="N71" i="2" s="1"/>
  <c r="O71" i="2" s="1"/>
  <c r="L72" i="2"/>
  <c r="W72" i="2" s="1"/>
  <c r="L73" i="2"/>
  <c r="N73" i="2" s="1"/>
  <c r="O73" i="2" s="1"/>
  <c r="L74" i="2"/>
  <c r="W74" i="2" s="1"/>
  <c r="L75" i="2"/>
  <c r="L76" i="2"/>
  <c r="N76" i="2" s="1"/>
  <c r="T76" i="2" s="1"/>
  <c r="L77" i="2"/>
  <c r="N77" i="2" s="1"/>
  <c r="O77" i="2" s="1"/>
  <c r="L78" i="2"/>
  <c r="N78" i="2" s="1"/>
  <c r="S78" i="2" s="1"/>
  <c r="L79" i="2"/>
  <c r="N79" i="2" s="1"/>
  <c r="O79" i="2" s="1"/>
  <c r="L80" i="2"/>
  <c r="N80" i="2" s="1"/>
  <c r="L81" i="2"/>
  <c r="N81" i="2" s="1"/>
  <c r="S81" i="2" s="1"/>
  <c r="L82" i="2"/>
  <c r="N82" i="2" s="1"/>
  <c r="L83" i="2"/>
  <c r="N83" i="2" s="1"/>
  <c r="S83" i="2" s="1"/>
  <c r="L84" i="2"/>
  <c r="N84" i="2" s="1"/>
  <c r="O84" i="2" s="1"/>
  <c r="L85" i="2"/>
  <c r="N85" i="2" s="1"/>
  <c r="L86" i="2"/>
  <c r="N86" i="2" s="1"/>
  <c r="T86" i="2" s="1"/>
  <c r="L87" i="2"/>
  <c r="N87" i="2" s="1"/>
  <c r="L88" i="2"/>
  <c r="N88" i="2" s="1"/>
  <c r="O88" i="2" s="1"/>
  <c r="AA88" i="2" s="1"/>
  <c r="AB88" i="2" s="1"/>
  <c r="L89" i="2"/>
  <c r="N89" i="2" s="1"/>
  <c r="L90" i="2"/>
  <c r="N90" i="2" s="1"/>
  <c r="L91" i="2"/>
  <c r="N91" i="2" s="1"/>
  <c r="O91" i="2" s="1"/>
  <c r="L93" i="2"/>
  <c r="N93" i="2" s="1"/>
  <c r="O93" i="2" s="1"/>
  <c r="L94" i="2"/>
  <c r="N94" i="2" s="1"/>
  <c r="L95" i="2"/>
  <c r="N95" i="2" s="1"/>
  <c r="O95" i="2" s="1"/>
  <c r="AA95" i="2" s="1"/>
  <c r="AB95" i="2" s="1"/>
  <c r="L96" i="2"/>
  <c r="N96" i="2" s="1"/>
  <c r="L97" i="2"/>
  <c r="N97" i="2" s="1"/>
  <c r="L98" i="2"/>
  <c r="N98" i="2" s="1"/>
  <c r="O98" i="2" s="1"/>
  <c r="L99" i="2"/>
  <c r="N99" i="2" s="1"/>
  <c r="O99" i="2" s="1"/>
  <c r="L100" i="2"/>
  <c r="N100" i="2" s="1"/>
  <c r="L101" i="2"/>
  <c r="N101" i="2" s="1"/>
  <c r="O101" i="2" s="1"/>
  <c r="L102" i="2"/>
  <c r="N102" i="2" s="1"/>
  <c r="L103" i="2"/>
  <c r="N103" i="2" s="1"/>
  <c r="O103" i="2" s="1"/>
  <c r="L104" i="2"/>
  <c r="N104" i="2" s="1"/>
  <c r="L105" i="2"/>
  <c r="N105" i="2" s="1"/>
  <c r="L106" i="2"/>
  <c r="N106" i="2" s="1"/>
  <c r="L107" i="2"/>
  <c r="N107" i="2" s="1"/>
  <c r="O107" i="2" s="1"/>
  <c r="L108" i="2"/>
  <c r="N108" i="2" s="1"/>
  <c r="L109" i="2"/>
  <c r="N109" i="2" s="1"/>
  <c r="O109" i="2" s="1"/>
  <c r="L110" i="2"/>
  <c r="N110" i="2" s="1"/>
  <c r="O110" i="2" s="1"/>
  <c r="AA110" i="2" s="1"/>
  <c r="AB110" i="2" s="1"/>
  <c r="L111" i="2"/>
  <c r="N111" i="2" s="1"/>
  <c r="L112" i="2"/>
  <c r="N112" i="2" s="1"/>
  <c r="L113" i="2"/>
  <c r="N113" i="2" s="1"/>
  <c r="O113" i="2" s="1"/>
  <c r="L114" i="2"/>
  <c r="N114" i="2" s="1"/>
  <c r="O114" i="2" s="1"/>
  <c r="L115" i="2"/>
  <c r="N115" i="2" s="1"/>
  <c r="O115" i="2" s="1"/>
  <c r="L116" i="2"/>
  <c r="N116" i="2" s="1"/>
  <c r="O116" i="2" s="1"/>
  <c r="L118" i="2"/>
  <c r="N118" i="2" s="1"/>
  <c r="L119" i="2"/>
  <c r="N119" i="2" s="1"/>
  <c r="L120" i="2"/>
  <c r="N120" i="2" s="1"/>
  <c r="L121" i="2"/>
  <c r="N121" i="2" s="1"/>
  <c r="L122" i="2"/>
  <c r="N122" i="2" s="1"/>
  <c r="T122" i="2" s="1"/>
  <c r="L123" i="2"/>
  <c r="N123" i="2" s="1"/>
  <c r="L124" i="2"/>
  <c r="N124" i="2" s="1"/>
  <c r="O124" i="2" s="1"/>
  <c r="L125" i="2"/>
  <c r="N125" i="2" s="1"/>
  <c r="O125" i="2" s="1"/>
  <c r="L126" i="2"/>
  <c r="N126" i="2" s="1"/>
  <c r="O126" i="2" s="1"/>
  <c r="L127" i="2"/>
  <c r="N127" i="2" s="1"/>
  <c r="L128" i="2"/>
  <c r="N128" i="2" s="1"/>
  <c r="O128" i="2" s="1"/>
  <c r="AA128" i="2" s="1"/>
  <c r="AB128" i="2" s="1"/>
  <c r="L129" i="2"/>
  <c r="N129" i="2" s="1"/>
  <c r="L130" i="2"/>
  <c r="N130" i="2" s="1"/>
  <c r="O130" i="2" s="1"/>
  <c r="L131" i="2"/>
  <c r="N131" i="2" s="1"/>
  <c r="L92" i="2"/>
  <c r="N92" i="2" s="1"/>
  <c r="O92" i="2" s="1"/>
  <c r="H14" i="18"/>
  <c r="M132" i="2"/>
  <c r="P132" i="2"/>
  <c r="U132" i="2"/>
  <c r="Y132" i="2"/>
  <c r="R130" i="2"/>
  <c r="R132" i="2" s="1"/>
  <c r="H11" i="18"/>
  <c r="H10" i="18"/>
  <c r="H9" i="18"/>
  <c r="Q93" i="2"/>
  <c r="Q41" i="2"/>
  <c r="E132" i="2"/>
  <c r="AA84" i="18"/>
  <c r="AA82" i="18"/>
  <c r="AA78" i="18"/>
  <c r="AA77" i="18"/>
  <c r="AA74" i="18"/>
  <c r="AA64" i="18"/>
  <c r="AA59" i="18"/>
  <c r="AA52" i="18"/>
  <c r="AA51" i="18"/>
  <c r="AA46" i="18"/>
  <c r="AA45" i="18"/>
  <c r="AA22" i="18"/>
  <c r="W24" i="18"/>
  <c r="Z24" i="18"/>
  <c r="W23" i="18"/>
  <c r="W25" i="18"/>
  <c r="W26" i="18"/>
  <c r="W27" i="18"/>
  <c r="W28" i="18"/>
  <c r="W29" i="18"/>
  <c r="W30" i="18"/>
  <c r="W31" i="18"/>
  <c r="W32" i="18"/>
  <c r="W33" i="18"/>
  <c r="W34" i="18"/>
  <c r="W35" i="18"/>
  <c r="W36" i="18"/>
  <c r="W37" i="18"/>
  <c r="W38" i="18"/>
  <c r="W39" i="18"/>
  <c r="W40" i="18"/>
  <c r="W41" i="18"/>
  <c r="W42" i="18"/>
  <c r="W43" i="18"/>
  <c r="W44" i="18"/>
  <c r="W45" i="18"/>
  <c r="W46" i="18"/>
  <c r="W47" i="18"/>
  <c r="W48" i="18"/>
  <c r="W49" i="18"/>
  <c r="W50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W70" i="18"/>
  <c r="W71" i="18"/>
  <c r="W72" i="18"/>
  <c r="W73" i="18"/>
  <c r="W74" i="18"/>
  <c r="W75" i="18"/>
  <c r="W76" i="18"/>
  <c r="W77" i="18"/>
  <c r="W78" i="18"/>
  <c r="W79" i="18"/>
  <c r="W80" i="18"/>
  <c r="W81" i="18"/>
  <c r="W82" i="18"/>
  <c r="W83" i="18"/>
  <c r="W84" i="18"/>
  <c r="W85" i="18"/>
  <c r="W86" i="18"/>
  <c r="W87" i="18"/>
  <c r="W88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E53" i="18"/>
  <c r="E54" i="18"/>
  <c r="E55" i="18"/>
  <c r="E56" i="18"/>
  <c r="E57" i="18"/>
  <c r="E58" i="18"/>
  <c r="E59" i="18"/>
  <c r="E60" i="18"/>
  <c r="E61" i="18"/>
  <c r="E62" i="18"/>
  <c r="E63" i="18"/>
  <c r="E64" i="18"/>
  <c r="E65" i="18"/>
  <c r="E66" i="18"/>
  <c r="E67" i="18"/>
  <c r="E68" i="18"/>
  <c r="E69" i="18"/>
  <c r="E70" i="18"/>
  <c r="E71" i="18"/>
  <c r="E72" i="18"/>
  <c r="E73" i="18"/>
  <c r="E74" i="18"/>
  <c r="E75" i="18"/>
  <c r="E76" i="18"/>
  <c r="E77" i="18"/>
  <c r="E78" i="18"/>
  <c r="E79" i="18"/>
  <c r="E80" i="18"/>
  <c r="E81" i="18"/>
  <c r="E82" i="18"/>
  <c r="E83" i="18"/>
  <c r="E84" i="18"/>
  <c r="E85" i="18"/>
  <c r="E86" i="18"/>
  <c r="E87" i="18"/>
  <c r="E88" i="18"/>
  <c r="W22" i="18"/>
  <c r="W21" i="18"/>
  <c r="M21" i="18"/>
  <c r="AN21" i="18" s="1"/>
  <c r="W62" i="2"/>
  <c r="E22" i="18"/>
  <c r="X89" i="18"/>
  <c r="P89" i="18"/>
  <c r="N89" i="18"/>
  <c r="G8" i="18" s="1"/>
  <c r="Y89" i="18"/>
  <c r="L21" i="18"/>
  <c r="O21" i="18" s="1"/>
  <c r="S21" i="18" s="1"/>
  <c r="T21" i="18" s="1"/>
  <c r="L13" i="2"/>
  <c r="N13" i="2" s="1"/>
  <c r="O13" i="2" s="1"/>
  <c r="AA13" i="2" s="1"/>
  <c r="AB13" i="2" s="1"/>
  <c r="R89" i="18"/>
  <c r="AD89" i="18"/>
  <c r="V89" i="18"/>
  <c r="T77" i="18"/>
  <c r="O59" i="18"/>
  <c r="S59" i="18" s="1"/>
  <c r="T59" i="18" s="1"/>
  <c r="T37" i="18"/>
  <c r="O53" i="18"/>
  <c r="Q56" i="18"/>
  <c r="Q48" i="18"/>
  <c r="S48" i="18" s="1"/>
  <c r="Q88" i="18"/>
  <c r="O78" i="18"/>
  <c r="AG78" i="18" s="1"/>
  <c r="S30" i="18"/>
  <c r="T30" i="18" s="1"/>
  <c r="Q49" i="18"/>
  <c r="S49" i="18" s="1"/>
  <c r="AC49" i="18" s="1"/>
  <c r="Q33" i="18"/>
  <c r="O84" i="18"/>
  <c r="S84" i="18" s="1"/>
  <c r="AC84" i="18" s="1"/>
  <c r="AC28" i="18"/>
  <c r="AL28" i="18" s="1"/>
  <c r="AM28" i="18" s="1"/>
  <c r="W66" i="2"/>
  <c r="O129" i="2"/>
  <c r="W73" i="2"/>
  <c r="O89" i="2"/>
  <c r="AI37" i="18"/>
  <c r="AC77" i="18"/>
  <c r="AC40" i="18"/>
  <c r="S77" i="2"/>
  <c r="O83" i="2"/>
  <c r="AA113" i="2"/>
  <c r="AB113" i="2" s="1"/>
  <c r="T81" i="2"/>
  <c r="O87" i="2"/>
  <c r="O102" i="2"/>
  <c r="T85" i="2"/>
  <c r="K28" i="19"/>
  <c r="W28" i="19" s="1"/>
  <c r="X28" i="19" s="1"/>
  <c r="J65" i="19"/>
  <c r="K68" i="19"/>
  <c r="W68" i="19" s="1"/>
  <c r="X68" i="19" s="1"/>
  <c r="S71" i="19"/>
  <c r="K127" i="19"/>
  <c r="W127" i="19" s="1"/>
  <c r="X127" i="19" s="1"/>
  <c r="K87" i="19"/>
  <c r="W87" i="19" s="1"/>
  <c r="X87" i="19" s="1"/>
  <c r="P119" i="19"/>
  <c r="P81" i="19"/>
  <c r="AC37" i="18"/>
  <c r="K15" i="19"/>
  <c r="K69" i="19"/>
  <c r="W69" i="19" s="1"/>
  <c r="X69" i="19" s="1"/>
  <c r="T53" i="19"/>
  <c r="K21" i="19"/>
  <c r="W21" i="19" s="1"/>
  <c r="X21" i="19" s="1"/>
  <c r="S72" i="19"/>
  <c r="K93" i="19"/>
  <c r="W93" i="19" s="1"/>
  <c r="X93" i="19" s="1"/>
  <c r="AM10" i="22" l="1"/>
  <c r="AN11" i="22"/>
  <c r="X52" i="2"/>
  <c r="P118" i="19"/>
  <c r="W118" i="19" s="1"/>
  <c r="X118" i="19" s="1"/>
  <c r="S79" i="2"/>
  <c r="O35" i="18"/>
  <c r="S35" i="18" s="1"/>
  <c r="W113" i="19"/>
  <c r="X113" i="19" s="1"/>
  <c r="Q87" i="18"/>
  <c r="S87" i="18" s="1"/>
  <c r="K80" i="19"/>
  <c r="O80" i="19"/>
  <c r="AC70" i="18"/>
  <c r="T70" i="18"/>
  <c r="AC66" i="18"/>
  <c r="T66" i="18"/>
  <c r="AA116" i="2"/>
  <c r="AB116" i="2" s="1"/>
  <c r="T83" i="2"/>
  <c r="AA83" i="2" s="1"/>
  <c r="AB83" i="2" s="1"/>
  <c r="AA103" i="2"/>
  <c r="AB103" i="2" s="1"/>
  <c r="T52" i="19"/>
  <c r="W52" i="19" s="1"/>
  <c r="X52" i="19" s="1"/>
  <c r="W71" i="2"/>
  <c r="S86" i="2"/>
  <c r="AA89" i="2"/>
  <c r="AB89" i="2" s="1"/>
  <c r="O62" i="18"/>
  <c r="S62" i="18" s="1"/>
  <c r="AL37" i="18"/>
  <c r="AM37" i="18" s="1"/>
  <c r="AA93" i="2"/>
  <c r="AB93" i="2" s="1"/>
  <c r="S88" i="18"/>
  <c r="AC88" i="18" s="1"/>
  <c r="W130" i="19"/>
  <c r="X130" i="19" s="1"/>
  <c r="J74" i="19"/>
  <c r="K74" i="19" s="1"/>
  <c r="O86" i="2"/>
  <c r="AA86" i="2" s="1"/>
  <c r="AB86" i="2" s="1"/>
  <c r="S70" i="19"/>
  <c r="P120" i="19"/>
  <c r="W120" i="19" s="1"/>
  <c r="X120" i="19" s="1"/>
  <c r="O15" i="2"/>
  <c r="AA19" i="2"/>
  <c r="AB19" i="2" s="1"/>
  <c r="AA52" i="2"/>
  <c r="AB52" i="2" s="1"/>
  <c r="W109" i="19"/>
  <c r="X109" i="19" s="1"/>
  <c r="K63" i="19"/>
  <c r="W63" i="19" s="1"/>
  <c r="X63" i="19" s="1"/>
  <c r="K78" i="19"/>
  <c r="O78" i="19"/>
  <c r="P78" i="19"/>
  <c r="P85" i="19"/>
  <c r="O85" i="19"/>
  <c r="K85" i="19"/>
  <c r="O120" i="2"/>
  <c r="T120" i="2"/>
  <c r="AC63" i="18"/>
  <c r="T63" i="18"/>
  <c r="K18" i="19"/>
  <c r="W18" i="19" s="1"/>
  <c r="X18" i="19" s="1"/>
  <c r="P84" i="19"/>
  <c r="K84" i="19"/>
  <c r="O84" i="19"/>
  <c r="K110" i="19"/>
  <c r="W110" i="19" s="1"/>
  <c r="X110" i="19" s="1"/>
  <c r="O33" i="2"/>
  <c r="AA33" i="2"/>
  <c r="AB33" i="2" s="1"/>
  <c r="AC58" i="18"/>
  <c r="AH58" i="18"/>
  <c r="O29" i="2"/>
  <c r="AA29" i="2"/>
  <c r="AB29" i="2" s="1"/>
  <c r="AC22" i="18"/>
  <c r="AJ22" i="18"/>
  <c r="K60" i="19"/>
  <c r="W60" i="19"/>
  <c r="X60" i="19" s="1"/>
  <c r="O82" i="19"/>
  <c r="K82" i="19"/>
  <c r="P82" i="19"/>
  <c r="AA15" i="2"/>
  <c r="AB15" i="2" s="1"/>
  <c r="S43" i="18"/>
  <c r="T43" i="18" s="1"/>
  <c r="W90" i="19"/>
  <c r="X90" i="19" s="1"/>
  <c r="P80" i="19"/>
  <c r="W41" i="19"/>
  <c r="X41" i="19" s="1"/>
  <c r="O81" i="2"/>
  <c r="O43" i="18"/>
  <c r="O55" i="2"/>
  <c r="AA55" i="2" s="1"/>
  <c r="AB55" i="2" s="1"/>
  <c r="W99" i="19"/>
  <c r="X99" i="19" s="1"/>
  <c r="W103" i="19"/>
  <c r="X103" i="19" s="1"/>
  <c r="W125" i="19"/>
  <c r="X125" i="19" s="1"/>
  <c r="K117" i="19"/>
  <c r="W117" i="19" s="1"/>
  <c r="X117" i="19" s="1"/>
  <c r="V16" i="19"/>
  <c r="W16" i="19" s="1"/>
  <c r="X16" i="19" s="1"/>
  <c r="T47" i="19"/>
  <c r="W47" i="19" s="1"/>
  <c r="X47" i="19" s="1"/>
  <c r="Z14" i="2"/>
  <c r="T84" i="2"/>
  <c r="AA84" i="2" s="1"/>
  <c r="AB84" i="2" s="1"/>
  <c r="AI40" i="18"/>
  <c r="AL40" i="18" s="1"/>
  <c r="AM40" i="18" s="1"/>
  <c r="AL77" i="18"/>
  <c r="AM77" i="18" s="1"/>
  <c r="Q39" i="18"/>
  <c r="O44" i="18"/>
  <c r="S44" i="18" s="1"/>
  <c r="T44" i="18" s="1"/>
  <c r="S56" i="18"/>
  <c r="AA98" i="2"/>
  <c r="AB98" i="2" s="1"/>
  <c r="W98" i="19"/>
  <c r="X98" i="19" s="1"/>
  <c r="W100" i="19"/>
  <c r="X100" i="19" s="1"/>
  <c r="W102" i="19"/>
  <c r="X102" i="19" s="1"/>
  <c r="T77" i="2"/>
  <c r="AF89" i="18"/>
  <c r="W101" i="19"/>
  <c r="X101" i="19" s="1"/>
  <c r="P122" i="19"/>
  <c r="W122" i="19" s="1"/>
  <c r="X122" i="19" s="1"/>
  <c r="W45" i="19"/>
  <c r="X45" i="19" s="1"/>
  <c r="K54" i="19"/>
  <c r="N74" i="2"/>
  <c r="AG70" i="18"/>
  <c r="AL70" i="18" s="1"/>
  <c r="AM70" i="18" s="1"/>
  <c r="O50" i="18"/>
  <c r="AA36" i="2"/>
  <c r="AB36" i="2" s="1"/>
  <c r="AB89" i="18"/>
  <c r="T48" i="18"/>
  <c r="AC48" i="18"/>
  <c r="AH48" i="18"/>
  <c r="AC75" i="18"/>
  <c r="AJ75" i="18"/>
  <c r="T75" i="18"/>
  <c r="T123" i="2"/>
  <c r="O123" i="2"/>
  <c r="AA123" i="2" s="1"/>
  <c r="AB123" i="2" s="1"/>
  <c r="AA111" i="2"/>
  <c r="AB111" i="2" s="1"/>
  <c r="O111" i="2"/>
  <c r="T82" i="2"/>
  <c r="S82" i="2"/>
  <c r="AA42" i="2"/>
  <c r="AB42" i="2" s="1"/>
  <c r="O42" i="2"/>
  <c r="O32" i="2"/>
  <c r="AA32" i="2"/>
  <c r="AB32" i="2" s="1"/>
  <c r="AA24" i="2"/>
  <c r="AB24" i="2" s="1"/>
  <c r="O24" i="2"/>
  <c r="T76" i="18"/>
  <c r="AH76" i="18"/>
  <c r="AC76" i="18"/>
  <c r="T68" i="18"/>
  <c r="AC68" i="18"/>
  <c r="S55" i="18"/>
  <c r="AG55" i="18"/>
  <c r="K38" i="19"/>
  <c r="W38" i="19" s="1"/>
  <c r="X38" i="19" s="1"/>
  <c r="K72" i="19"/>
  <c r="W72" i="19"/>
  <c r="X72" i="19" s="1"/>
  <c r="AA97" i="2"/>
  <c r="AB97" i="2" s="1"/>
  <c r="O97" i="2"/>
  <c r="O59" i="2"/>
  <c r="AA59" i="2"/>
  <c r="AB59" i="2" s="1"/>
  <c r="Z18" i="2"/>
  <c r="Z132" i="2" s="1"/>
  <c r="O18" i="2"/>
  <c r="AJ73" i="18"/>
  <c r="T73" i="18"/>
  <c r="AC73" i="18"/>
  <c r="T69" i="18"/>
  <c r="AC69" i="18"/>
  <c r="AG69" i="18"/>
  <c r="AL69" i="18" s="1"/>
  <c r="AM69" i="18" s="1"/>
  <c r="K22" i="19"/>
  <c r="W22" i="19" s="1"/>
  <c r="X22" i="19" s="1"/>
  <c r="K31" i="19"/>
  <c r="W31" i="19" s="1"/>
  <c r="X31" i="19" s="1"/>
  <c r="K40" i="19"/>
  <c r="W40" i="19" s="1"/>
  <c r="X40" i="19" s="1"/>
  <c r="K114" i="19"/>
  <c r="W114" i="19" s="1"/>
  <c r="X114" i="19" s="1"/>
  <c r="O121" i="2"/>
  <c r="AA121" i="2" s="1"/>
  <c r="AB121" i="2" s="1"/>
  <c r="T121" i="2"/>
  <c r="T118" i="2"/>
  <c r="O118" i="2"/>
  <c r="AA118" i="2" s="1"/>
  <c r="AB118" i="2" s="1"/>
  <c r="T85" i="18"/>
  <c r="AC85" i="18"/>
  <c r="AC81" i="18"/>
  <c r="T81" i="18"/>
  <c r="AL81" i="18" s="1"/>
  <c r="AM81" i="18" s="1"/>
  <c r="W24" i="19"/>
  <c r="X24" i="19" s="1"/>
  <c r="K24" i="19"/>
  <c r="K42" i="19"/>
  <c r="W42" i="19" s="1"/>
  <c r="X42" i="19" s="1"/>
  <c r="K67" i="19"/>
  <c r="K70" i="19"/>
  <c r="W70" i="19" s="1"/>
  <c r="X70" i="19" s="1"/>
  <c r="K123" i="19"/>
  <c r="W123" i="19" s="1"/>
  <c r="X123" i="19" s="1"/>
  <c r="AC21" i="18"/>
  <c r="AL21" i="18" s="1"/>
  <c r="AM21" i="18" s="1"/>
  <c r="T74" i="18"/>
  <c r="AC74" i="18"/>
  <c r="O51" i="2"/>
  <c r="AA51" i="2" s="1"/>
  <c r="AB51" i="2" s="1"/>
  <c r="O26" i="2"/>
  <c r="AA26" i="2" s="1"/>
  <c r="AB26" i="2" s="1"/>
  <c r="T79" i="18"/>
  <c r="AJ79" i="18"/>
  <c r="AC79" i="18"/>
  <c r="V13" i="19"/>
  <c r="K13" i="19"/>
  <c r="K17" i="19"/>
  <c r="W17" i="19" s="1"/>
  <c r="X17" i="19" s="1"/>
  <c r="V17" i="19"/>
  <c r="AA107" i="2"/>
  <c r="AB107" i="2" s="1"/>
  <c r="W116" i="19"/>
  <c r="X116" i="19" s="1"/>
  <c r="S67" i="19"/>
  <c r="O21" i="2"/>
  <c r="AA21" i="2" s="1"/>
  <c r="AB21" i="2" s="1"/>
  <c r="W48" i="19"/>
  <c r="X48" i="19" s="1"/>
  <c r="AA61" i="2"/>
  <c r="AB61" i="2" s="1"/>
  <c r="O39" i="2"/>
  <c r="AA39" i="2" s="1"/>
  <c r="AB39" i="2" s="1"/>
  <c r="AA73" i="2"/>
  <c r="AB73" i="2" s="1"/>
  <c r="AI51" i="18"/>
  <c r="AI84" i="18"/>
  <c r="T22" i="18"/>
  <c r="AC83" i="18"/>
  <c r="AL83" i="18" s="1"/>
  <c r="AM83" i="18" s="1"/>
  <c r="K86" i="19"/>
  <c r="W91" i="19"/>
  <c r="X91" i="19" s="1"/>
  <c r="O86" i="19"/>
  <c r="O67" i="2"/>
  <c r="AA67" i="2" s="1"/>
  <c r="AB67" i="2" s="1"/>
  <c r="O65" i="2"/>
  <c r="AA65" i="2" s="1"/>
  <c r="AB65" i="2" s="1"/>
  <c r="K64" i="19"/>
  <c r="W64" i="19" s="1"/>
  <c r="X64" i="19" s="1"/>
  <c r="K51" i="19"/>
  <c r="W51" i="19" s="1"/>
  <c r="X51" i="19" s="1"/>
  <c r="J73" i="19"/>
  <c r="K65" i="19"/>
  <c r="W65" i="19" s="1"/>
  <c r="X65" i="19" s="1"/>
  <c r="K50" i="19"/>
  <c r="W50" i="19" s="1"/>
  <c r="X50" i="19" s="1"/>
  <c r="K19" i="19"/>
  <c r="W19" i="19" s="1"/>
  <c r="X19" i="19" s="1"/>
  <c r="AA77" i="2"/>
  <c r="AB77" i="2" s="1"/>
  <c r="AA102" i="2"/>
  <c r="AB102" i="2" s="1"/>
  <c r="O63" i="2"/>
  <c r="AA63" i="2" s="1"/>
  <c r="AB63" i="2" s="1"/>
  <c r="O108" i="2"/>
  <c r="AA108" i="2" s="1"/>
  <c r="AB108" i="2" s="1"/>
  <c r="T25" i="18"/>
  <c r="O37" i="2"/>
  <c r="AA37" i="2" s="1"/>
  <c r="AB37" i="2" s="1"/>
  <c r="T84" i="18"/>
  <c r="AL84" i="18" s="1"/>
  <c r="AM84" i="18" s="1"/>
  <c r="S33" i="18"/>
  <c r="S78" i="18"/>
  <c r="O29" i="18"/>
  <c r="S29" i="18" s="1"/>
  <c r="O34" i="18"/>
  <c r="S34" i="18" s="1"/>
  <c r="W68" i="2"/>
  <c r="Q52" i="18"/>
  <c r="S52" i="18" s="1"/>
  <c r="W53" i="19"/>
  <c r="X53" i="19" s="1"/>
  <c r="M131" i="19"/>
  <c r="M133" i="19" s="1"/>
  <c r="W54" i="19"/>
  <c r="X54" i="19" s="1"/>
  <c r="S39" i="18"/>
  <c r="T58" i="18"/>
  <c r="W30" i="19"/>
  <c r="X30" i="19" s="1"/>
  <c r="S59" i="19"/>
  <c r="W59" i="19" s="1"/>
  <c r="X59" i="19" s="1"/>
  <c r="AA69" i="2"/>
  <c r="AB69" i="2" s="1"/>
  <c r="T51" i="18"/>
  <c r="AA101" i="2"/>
  <c r="AB101" i="2" s="1"/>
  <c r="N72" i="2"/>
  <c r="W106" i="19"/>
  <c r="X106" i="19" s="1"/>
  <c r="W26" i="19"/>
  <c r="X26" i="19" s="1"/>
  <c r="O78" i="2"/>
  <c r="AA81" i="2"/>
  <c r="AB81" i="2" s="1"/>
  <c r="X48" i="2"/>
  <c r="AA50" i="2"/>
  <c r="AB50" i="2" s="1"/>
  <c r="AC25" i="18"/>
  <c r="AL25" i="18" s="1"/>
  <c r="AM25" i="18" s="1"/>
  <c r="T86" i="18"/>
  <c r="AL86" i="18" s="1"/>
  <c r="AM86" i="18" s="1"/>
  <c r="AJ45" i="18"/>
  <c r="O46" i="18"/>
  <c r="S46" i="18" s="1"/>
  <c r="T46" i="18" s="1"/>
  <c r="S72" i="18"/>
  <c r="T45" i="18"/>
  <c r="W128" i="19"/>
  <c r="X128" i="19" s="1"/>
  <c r="M18" i="21"/>
  <c r="N18" i="21" s="1"/>
  <c r="K17" i="21"/>
  <c r="K105" i="19"/>
  <c r="W105" i="19" s="1"/>
  <c r="X105" i="19" s="1"/>
  <c r="AH36" i="18"/>
  <c r="T36" i="18"/>
  <c r="O96" i="2"/>
  <c r="AA96" i="2" s="1"/>
  <c r="AB96" i="2" s="1"/>
  <c r="O94" i="2"/>
  <c r="AA94" i="2" s="1"/>
  <c r="AB94" i="2" s="1"/>
  <c r="K104" i="19"/>
  <c r="W104" i="19" s="1"/>
  <c r="X104" i="19" s="1"/>
  <c r="K115" i="19"/>
  <c r="W115" i="19" s="1"/>
  <c r="X115" i="19" s="1"/>
  <c r="W74" i="19"/>
  <c r="X74" i="19" s="1"/>
  <c r="M89" i="18"/>
  <c r="T65" i="18"/>
  <c r="AC65" i="18"/>
  <c r="E89" i="18"/>
  <c r="O58" i="2"/>
  <c r="X58" i="2"/>
  <c r="K27" i="19"/>
  <c r="W27" i="19" s="1"/>
  <c r="X27" i="19" s="1"/>
  <c r="W112" i="19"/>
  <c r="X112" i="19" s="1"/>
  <c r="K107" i="19"/>
  <c r="W107" i="19" s="1"/>
  <c r="X107" i="19" s="1"/>
  <c r="AA56" i="2"/>
  <c r="AB56" i="2" s="1"/>
  <c r="O81" i="19"/>
  <c r="W81" i="19" s="1"/>
  <c r="X81" i="19" s="1"/>
  <c r="K76" i="19"/>
  <c r="AA91" i="2"/>
  <c r="AB91" i="2" s="1"/>
  <c r="AA48" i="2"/>
  <c r="AB48" i="2" s="1"/>
  <c r="T23" i="18"/>
  <c r="AC23" i="18"/>
  <c r="T49" i="18"/>
  <c r="AI49" i="18"/>
  <c r="AC26" i="18"/>
  <c r="AI26" i="18"/>
  <c r="O131" i="2"/>
  <c r="AA131" i="2" s="1"/>
  <c r="AB131" i="2" s="1"/>
  <c r="AA125" i="2"/>
  <c r="AB125" i="2" s="1"/>
  <c r="T119" i="2"/>
  <c r="O119" i="2"/>
  <c r="AA115" i="2"/>
  <c r="AB115" i="2" s="1"/>
  <c r="O112" i="2"/>
  <c r="AA112" i="2" s="1"/>
  <c r="AB112" i="2" s="1"/>
  <c r="AA109" i="2"/>
  <c r="AB109" i="2" s="1"/>
  <c r="S80" i="2"/>
  <c r="O80" i="2"/>
  <c r="T80" i="2"/>
  <c r="O76" i="2"/>
  <c r="S76" i="2"/>
  <c r="X70" i="2"/>
  <c r="AA70" i="2" s="1"/>
  <c r="AB70" i="2" s="1"/>
  <c r="O66" i="2"/>
  <c r="AA66" i="2" s="1"/>
  <c r="AB66" i="2" s="1"/>
  <c r="AA64" i="2"/>
  <c r="AB64" i="2" s="1"/>
  <c r="AA62" i="2"/>
  <c r="AB62" i="2" s="1"/>
  <c r="O46" i="2"/>
  <c r="AA46" i="2" s="1"/>
  <c r="AB46" i="2" s="1"/>
  <c r="O43" i="2"/>
  <c r="AA43" i="2" s="1"/>
  <c r="AB43" i="2" s="1"/>
  <c r="O40" i="2"/>
  <c r="AA40" i="2" s="1"/>
  <c r="AB40" i="2" s="1"/>
  <c r="T80" i="18"/>
  <c r="AC80" i="18"/>
  <c r="T57" i="18"/>
  <c r="AC57" i="18"/>
  <c r="AC32" i="18"/>
  <c r="T32" i="18"/>
  <c r="O27" i="18"/>
  <c r="S27" i="18" s="1"/>
  <c r="L89" i="18"/>
  <c r="K49" i="19"/>
  <c r="W49" i="19" s="1"/>
  <c r="X49" i="19" s="1"/>
  <c r="K95" i="19"/>
  <c r="W95" i="19" s="1"/>
  <c r="X95" i="19" s="1"/>
  <c r="W89" i="18"/>
  <c r="W92" i="19"/>
  <c r="X92" i="19" s="1"/>
  <c r="K96" i="19"/>
  <c r="W96" i="19" s="1"/>
  <c r="X96" i="19" s="1"/>
  <c r="P121" i="19"/>
  <c r="K121" i="19"/>
  <c r="N131" i="19"/>
  <c r="N133" i="19" s="1"/>
  <c r="W129" i="19"/>
  <c r="X129" i="19" s="1"/>
  <c r="W124" i="19"/>
  <c r="X124" i="19" s="1"/>
  <c r="AC36" i="18"/>
  <c r="T87" i="18"/>
  <c r="AC87" i="18"/>
  <c r="AC30" i="18"/>
  <c r="AI30" i="18"/>
  <c r="V14" i="19"/>
  <c r="K14" i="19"/>
  <c r="W32" i="19"/>
  <c r="X32" i="19" s="1"/>
  <c r="P79" i="19"/>
  <c r="O83" i="19"/>
  <c r="P83" i="19"/>
  <c r="P76" i="19"/>
  <c r="H131" i="19"/>
  <c r="K89" i="19"/>
  <c r="W89" i="19" s="1"/>
  <c r="X89" i="19" s="1"/>
  <c r="W71" i="19"/>
  <c r="X71" i="19" s="1"/>
  <c r="O79" i="19"/>
  <c r="O53" i="2"/>
  <c r="AA53" i="2" s="1"/>
  <c r="AB53" i="2" s="1"/>
  <c r="O68" i="2"/>
  <c r="T60" i="18"/>
  <c r="AC60" i="18"/>
  <c r="T38" i="18"/>
  <c r="AC38" i="18"/>
  <c r="AC54" i="18"/>
  <c r="T54" i="18"/>
  <c r="T67" i="18"/>
  <c r="AH67" i="18"/>
  <c r="AC67" i="18"/>
  <c r="AA129" i="2"/>
  <c r="AB129" i="2" s="1"/>
  <c r="AA126" i="2"/>
  <c r="AB126" i="2" s="1"/>
  <c r="O105" i="2"/>
  <c r="AA105" i="2" s="1"/>
  <c r="AB105" i="2" s="1"/>
  <c r="O90" i="2"/>
  <c r="AA90" i="2" s="1"/>
  <c r="AB90" i="2" s="1"/>
  <c r="S87" i="2"/>
  <c r="T87" i="2"/>
  <c r="AA71" i="2"/>
  <c r="AB71" i="2" s="1"/>
  <c r="N60" i="2"/>
  <c r="W60" i="2"/>
  <c r="O57" i="2"/>
  <c r="X57" i="2"/>
  <c r="O44" i="2"/>
  <c r="AA44" i="2" s="1"/>
  <c r="AB44" i="2" s="1"/>
  <c r="O41" i="2"/>
  <c r="AA41" i="2" s="1"/>
  <c r="AB41" i="2" s="1"/>
  <c r="O38" i="2"/>
  <c r="AA38" i="2" s="1"/>
  <c r="AB38" i="2" s="1"/>
  <c r="O35" i="2"/>
  <c r="AA35" i="2" s="1"/>
  <c r="AB35" i="2" s="1"/>
  <c r="O31" i="2"/>
  <c r="AA31" i="2" s="1"/>
  <c r="AB31" i="2" s="1"/>
  <c r="AA27" i="2"/>
  <c r="AB27" i="2" s="1"/>
  <c r="O25" i="2"/>
  <c r="AA25" i="2" s="1"/>
  <c r="AB25" i="2" s="1"/>
  <c r="O23" i="2"/>
  <c r="AA23" i="2" s="1"/>
  <c r="AB23" i="2" s="1"/>
  <c r="N20" i="2"/>
  <c r="L132" i="2"/>
  <c r="O17" i="2"/>
  <c r="AA17" i="2" s="1"/>
  <c r="AB17" i="2" s="1"/>
  <c r="AG71" i="18"/>
  <c r="S71" i="18"/>
  <c r="S50" i="18"/>
  <c r="AC47" i="18"/>
  <c r="AI47" i="18"/>
  <c r="O41" i="18"/>
  <c r="Q41" i="18"/>
  <c r="O31" i="18"/>
  <c r="Q31" i="18"/>
  <c r="S24" i="18"/>
  <c r="W15" i="19"/>
  <c r="X15" i="19" s="1"/>
  <c r="W23" i="19"/>
  <c r="X23" i="19" s="1"/>
  <c r="W34" i="19"/>
  <c r="X34" i="19" s="1"/>
  <c r="K55" i="19"/>
  <c r="W55" i="19" s="1"/>
  <c r="X55" i="19" s="1"/>
  <c r="K57" i="19"/>
  <c r="T57" i="19"/>
  <c r="K62" i="19"/>
  <c r="W62" i="19" s="1"/>
  <c r="X62" i="19" s="1"/>
  <c r="P77" i="19"/>
  <c r="O77" i="19"/>
  <c r="W88" i="19"/>
  <c r="X88" i="19" s="1"/>
  <c r="AK59" i="18"/>
  <c r="AK89" i="18" s="1"/>
  <c r="U132" i="19" s="1"/>
  <c r="U133" i="19" s="1"/>
  <c r="AC59" i="18"/>
  <c r="AA89" i="18"/>
  <c r="O127" i="2"/>
  <c r="AA127" i="2" s="1"/>
  <c r="AB127" i="2" s="1"/>
  <c r="AA124" i="2"/>
  <c r="AB124" i="2" s="1"/>
  <c r="O106" i="2"/>
  <c r="AA106" i="2"/>
  <c r="AB106" i="2" s="1"/>
  <c r="O100" i="2"/>
  <c r="AA100" i="2" s="1"/>
  <c r="AB100" i="2" s="1"/>
  <c r="S85" i="2"/>
  <c r="AA85" i="2" s="1"/>
  <c r="AB85" i="2" s="1"/>
  <c r="O85" i="2"/>
  <c r="O22" i="2"/>
  <c r="AA22" i="2" s="1"/>
  <c r="AB22" i="2" s="1"/>
  <c r="AA14" i="2"/>
  <c r="AB14" i="2" s="1"/>
  <c r="T56" i="19"/>
  <c r="W56" i="19" s="1"/>
  <c r="X56" i="19" s="1"/>
  <c r="W39" i="19"/>
  <c r="X39" i="19" s="1"/>
  <c r="O122" i="2"/>
  <c r="AA122" i="2" s="1"/>
  <c r="AB122" i="2" s="1"/>
  <c r="T79" i="2"/>
  <c r="O82" i="2"/>
  <c r="AC82" i="18"/>
  <c r="AL82" i="18" s="1"/>
  <c r="AM82" i="18" s="1"/>
  <c r="AC44" i="18"/>
  <c r="G13" i="18"/>
  <c r="H13" i="18" s="1"/>
  <c r="H8" i="18"/>
  <c r="G12" i="18"/>
  <c r="H12" i="18" s="1"/>
  <c r="Q132" i="2"/>
  <c r="AA130" i="2"/>
  <c r="AB130" i="2" s="1"/>
  <c r="O104" i="2"/>
  <c r="AA104" i="2" s="1"/>
  <c r="AB104" i="2" s="1"/>
  <c r="AA99" i="2"/>
  <c r="AB99" i="2" s="1"/>
  <c r="S84" i="2"/>
  <c r="T78" i="2"/>
  <c r="N75" i="2"/>
  <c r="V75" i="2"/>
  <c r="V132" i="2" s="1"/>
  <c r="X54" i="2"/>
  <c r="AA54" i="2" s="1"/>
  <c r="AB54" i="2" s="1"/>
  <c r="AG64" i="18"/>
  <c r="S64" i="18"/>
  <c r="T61" i="18"/>
  <c r="AC61" i="18"/>
  <c r="T42" i="18"/>
  <c r="AI42" i="18"/>
  <c r="Z89" i="18"/>
  <c r="AE89" i="18"/>
  <c r="AA117" i="2"/>
  <c r="AB117" i="2" s="1"/>
  <c r="W35" i="19"/>
  <c r="X35" i="19" s="1"/>
  <c r="W44" i="19"/>
  <c r="X44" i="19" s="1"/>
  <c r="W58" i="19"/>
  <c r="X58" i="19" s="1"/>
  <c r="P75" i="19"/>
  <c r="K75" i="19"/>
  <c r="W97" i="19"/>
  <c r="X97" i="19" s="1"/>
  <c r="W108" i="19"/>
  <c r="X108" i="19" s="1"/>
  <c r="AA92" i="2"/>
  <c r="AB92" i="2" s="1"/>
  <c r="AA114" i="2"/>
  <c r="AB114" i="2" s="1"/>
  <c r="AA45" i="2"/>
  <c r="AB45" i="2" s="1"/>
  <c r="S53" i="18"/>
  <c r="S61" i="19"/>
  <c r="J61" i="19"/>
  <c r="J131" i="19" s="1"/>
  <c r="K10" i="22"/>
  <c r="AC35" i="18" l="1"/>
  <c r="T35" i="18"/>
  <c r="AI35" i="18"/>
  <c r="AA68" i="2"/>
  <c r="AB68" i="2" s="1"/>
  <c r="T88" i="18"/>
  <c r="AA82" i="2"/>
  <c r="AB82" i="2" s="1"/>
  <c r="AA18" i="2"/>
  <c r="AB18" i="2" s="1"/>
  <c r="AA120" i="2"/>
  <c r="AB120" i="2" s="1"/>
  <c r="AI44" i="18"/>
  <c r="AA79" i="2"/>
  <c r="AB79" i="2" s="1"/>
  <c r="AA80" i="2"/>
  <c r="AB80" i="2" s="1"/>
  <c r="AL45" i="18"/>
  <c r="AM45" i="18" s="1"/>
  <c r="AL22" i="18"/>
  <c r="AL66" i="18"/>
  <c r="AM66" i="18" s="1"/>
  <c r="AG62" i="18"/>
  <c r="AG89" i="18" s="1"/>
  <c r="R132" i="19" s="1"/>
  <c r="R133" i="19" s="1"/>
  <c r="AC62" i="18"/>
  <c r="T62" i="18"/>
  <c r="T132" i="2"/>
  <c r="AL32" i="18"/>
  <c r="AM32" i="18" s="1"/>
  <c r="W13" i="19"/>
  <c r="X13" i="19" s="1"/>
  <c r="W84" i="19"/>
  <c r="X84" i="19" s="1"/>
  <c r="AC43" i="18"/>
  <c r="AL80" i="18"/>
  <c r="AM80" i="18" s="1"/>
  <c r="AA119" i="2"/>
  <c r="AB119" i="2" s="1"/>
  <c r="W86" i="19"/>
  <c r="X86" i="19" s="1"/>
  <c r="W80" i="19"/>
  <c r="X80" i="19" s="1"/>
  <c r="AL57" i="18"/>
  <c r="AM57" i="18" s="1"/>
  <c r="W78" i="19"/>
  <c r="X78" i="19" s="1"/>
  <c r="AI34" i="18"/>
  <c r="T34" i="18"/>
  <c r="T56" i="18"/>
  <c r="AH56" i="18"/>
  <c r="AL56" i="18" s="1"/>
  <c r="AM56" i="18" s="1"/>
  <c r="O89" i="18"/>
  <c r="S41" i="18"/>
  <c r="W132" i="2"/>
  <c r="AL38" i="18"/>
  <c r="AM38" i="18" s="1"/>
  <c r="W79" i="19"/>
  <c r="X79" i="19" s="1"/>
  <c r="W121" i="19"/>
  <c r="X121" i="19" s="1"/>
  <c r="AI43" i="18"/>
  <c r="AL43" i="18" s="1"/>
  <c r="AM43" i="18" s="1"/>
  <c r="AL26" i="18"/>
  <c r="AM26" i="18" s="1"/>
  <c r="O74" i="2"/>
  <c r="AA74" i="2" s="1"/>
  <c r="AB74" i="2" s="1"/>
  <c r="AL65" i="18"/>
  <c r="AM65" i="18" s="1"/>
  <c r="AL74" i="18"/>
  <c r="AM74" i="18" s="1"/>
  <c r="W82" i="19"/>
  <c r="X82" i="19" s="1"/>
  <c r="AL63" i="18"/>
  <c r="AM63" i="18" s="1"/>
  <c r="W14" i="19"/>
  <c r="AL87" i="18"/>
  <c r="AM87" i="18" s="1"/>
  <c r="AL35" i="18"/>
  <c r="AM35" i="18" s="1"/>
  <c r="AL75" i="18"/>
  <c r="AM75" i="18" s="1"/>
  <c r="S131" i="19"/>
  <c r="AL44" i="18"/>
  <c r="AM44" i="18" s="1"/>
  <c r="W57" i="19"/>
  <c r="X57" i="19" s="1"/>
  <c r="AL54" i="18"/>
  <c r="AM54" i="18" s="1"/>
  <c r="AC56" i="18"/>
  <c r="AL51" i="18"/>
  <c r="AM51" i="18" s="1"/>
  <c r="AL58" i="18"/>
  <c r="AM58" i="18" s="1"/>
  <c r="W67" i="19"/>
  <c r="X67" i="19" s="1"/>
  <c r="AL73" i="18"/>
  <c r="AM73" i="18" s="1"/>
  <c r="W85" i="19"/>
  <c r="X85" i="19" s="1"/>
  <c r="T29" i="18"/>
  <c r="AL29" i="18" s="1"/>
  <c r="AM29" i="18" s="1"/>
  <c r="AI29" i="18"/>
  <c r="AC29" i="18"/>
  <c r="T72" i="18"/>
  <c r="AC72" i="18"/>
  <c r="AL72" i="18" s="1"/>
  <c r="AM72" i="18" s="1"/>
  <c r="AC33" i="18"/>
  <c r="AL33" i="18" s="1"/>
  <c r="AM33" i="18" s="1"/>
  <c r="T33" i="18"/>
  <c r="K73" i="19"/>
  <c r="W73" i="19"/>
  <c r="X73" i="19" s="1"/>
  <c r="AL60" i="18"/>
  <c r="AM60" i="18" s="1"/>
  <c r="AL30" i="18"/>
  <c r="AM30" i="18" s="1"/>
  <c r="AL79" i="18"/>
  <c r="AM79" i="18" s="1"/>
  <c r="AL88" i="18"/>
  <c r="AM88" i="18" s="1"/>
  <c r="AI46" i="18"/>
  <c r="AL59" i="18"/>
  <c r="AM59" i="18" s="1"/>
  <c r="AL47" i="18"/>
  <c r="AM47" i="18" s="1"/>
  <c r="AC34" i="18"/>
  <c r="AL34" i="18" s="1"/>
  <c r="AM34" i="18" s="1"/>
  <c r="AL23" i="18"/>
  <c r="AM23" i="18" s="1"/>
  <c r="AL85" i="18"/>
  <c r="AM85" i="18" s="1"/>
  <c r="AL68" i="18"/>
  <c r="AM68" i="18" s="1"/>
  <c r="AL48" i="18"/>
  <c r="AM48" i="18" s="1"/>
  <c r="O72" i="2"/>
  <c r="AA72" i="2" s="1"/>
  <c r="AB72" i="2" s="1"/>
  <c r="T39" i="18"/>
  <c r="AI39" i="18"/>
  <c r="AC39" i="18"/>
  <c r="T52" i="18"/>
  <c r="AC52" i="18"/>
  <c r="AC78" i="18"/>
  <c r="AL78" i="18" s="1"/>
  <c r="AM78" i="18" s="1"/>
  <c r="T78" i="18"/>
  <c r="AC55" i="18"/>
  <c r="T55" i="18"/>
  <c r="W75" i="19"/>
  <c r="X75" i="19" s="1"/>
  <c r="AL42" i="18"/>
  <c r="AM42" i="18" s="1"/>
  <c r="AC46" i="18"/>
  <c r="AA57" i="2"/>
  <c r="AB57" i="2" s="1"/>
  <c r="W83" i="19"/>
  <c r="X83" i="19" s="1"/>
  <c r="V131" i="19"/>
  <c r="V133" i="19" s="1"/>
  <c r="AA58" i="2"/>
  <c r="AB58" i="2" s="1"/>
  <c r="AJ89" i="18"/>
  <c r="AL76" i="18"/>
  <c r="AM76" i="18" s="1"/>
  <c r="Y20" i="21"/>
  <c r="Z20" i="21" s="1"/>
  <c r="AA20" i="21" s="1"/>
  <c r="Y18" i="21"/>
  <c r="Z18" i="21" s="1"/>
  <c r="N17" i="21"/>
  <c r="V17" i="21"/>
  <c r="M17" i="21"/>
  <c r="T50" i="18"/>
  <c r="AC50" i="18"/>
  <c r="X14" i="19"/>
  <c r="AL36" i="18"/>
  <c r="AM36" i="18" s="1"/>
  <c r="AC53" i="18"/>
  <c r="T53" i="18"/>
  <c r="AA87" i="2"/>
  <c r="AB87" i="2" s="1"/>
  <c r="AL67" i="18"/>
  <c r="AM67" i="18" s="1"/>
  <c r="S132" i="2"/>
  <c r="X132" i="2"/>
  <c r="P131" i="19"/>
  <c r="P133" i="19" s="1"/>
  <c r="O75" i="2"/>
  <c r="AA75" i="2" s="1"/>
  <c r="AB75" i="2" s="1"/>
  <c r="Q89" i="18"/>
  <c r="S31" i="18"/>
  <c r="S89" i="18" s="1"/>
  <c r="T89" i="18" s="1"/>
  <c r="N132" i="2"/>
  <c r="O20" i="2"/>
  <c r="AA20" i="2" s="1"/>
  <c r="AB20" i="2" s="1"/>
  <c r="O60" i="2"/>
  <c r="AA60" i="2" s="1"/>
  <c r="AA76" i="2"/>
  <c r="AB76" i="2" s="1"/>
  <c r="AM22" i="18"/>
  <c r="T131" i="19"/>
  <c r="W77" i="19"/>
  <c r="X77" i="19" s="1"/>
  <c r="O131" i="19"/>
  <c r="O133" i="19" s="1"/>
  <c r="T41" i="18"/>
  <c r="AI41" i="18"/>
  <c r="AC41" i="18"/>
  <c r="AC64" i="18"/>
  <c r="T64" i="18"/>
  <c r="AC24" i="18"/>
  <c r="AI24" i="18"/>
  <c r="T24" i="18"/>
  <c r="AC71" i="18"/>
  <c r="AL71" i="18" s="1"/>
  <c r="AM71" i="18" s="1"/>
  <c r="T71" i="18"/>
  <c r="K61" i="19"/>
  <c r="AL61" i="18"/>
  <c r="AM61" i="18" s="1"/>
  <c r="AA78" i="2"/>
  <c r="AB78" i="2" s="1"/>
  <c r="AC27" i="18"/>
  <c r="T27" i="18"/>
  <c r="AL49" i="18"/>
  <c r="AM49" i="18" s="1"/>
  <c r="W76" i="19"/>
  <c r="X76" i="19" s="1"/>
  <c r="K131" i="19" l="1"/>
  <c r="H132" i="19"/>
  <c r="AL55" i="18"/>
  <c r="AM55" i="18" s="1"/>
  <c r="AL52" i="18"/>
  <c r="AM52" i="18" s="1"/>
  <c r="AA18" i="21"/>
  <c r="Z17" i="21"/>
  <c r="AL62" i="18"/>
  <c r="AM62" i="18" s="1"/>
  <c r="AH89" i="18"/>
  <c r="S132" i="19" s="1"/>
  <c r="S133" i="19" s="1"/>
  <c r="AL46" i="18"/>
  <c r="AM46" i="18" s="1"/>
  <c r="AL39" i="18"/>
  <c r="AM39" i="18" s="1"/>
  <c r="AL64" i="18"/>
  <c r="AM64" i="18" s="1"/>
  <c r="Y17" i="21"/>
  <c r="AB60" i="2"/>
  <c r="AB132" i="2" s="1"/>
  <c r="AA132" i="2"/>
  <c r="H133" i="19"/>
  <c r="J132" i="19"/>
  <c r="W61" i="19"/>
  <c r="AL53" i="18"/>
  <c r="AM53" i="18" s="1"/>
  <c r="AL27" i="18"/>
  <c r="AM27" i="18" s="1"/>
  <c r="AL41" i="18"/>
  <c r="AM41" i="18" s="1"/>
  <c r="AL24" i="18"/>
  <c r="O132" i="2"/>
  <c r="AI31" i="18"/>
  <c r="T31" i="18"/>
  <c r="AC31" i="18"/>
  <c r="AC89" i="18" s="1"/>
  <c r="Q132" i="19" s="1"/>
  <c r="Q133" i="19" s="1"/>
  <c r="AL50" i="18"/>
  <c r="AM50" i="18" s="1"/>
  <c r="AA17" i="21" l="1"/>
  <c r="X61" i="19"/>
  <c r="X131" i="19" s="1"/>
  <c r="W131" i="19"/>
  <c r="AL31" i="18"/>
  <c r="AM31" i="18" s="1"/>
  <c r="AI89" i="18"/>
  <c r="T132" i="19" s="1"/>
  <c r="T133" i="19" s="1"/>
  <c r="AM24" i="18"/>
  <c r="K132" i="19"/>
  <c r="K133" i="19" s="1"/>
  <c r="J133" i="19"/>
  <c r="W132" i="19" l="1"/>
  <c r="X132" i="19" s="1"/>
  <c r="X133" i="19" s="1"/>
  <c r="AL89" i="18"/>
  <c r="AM89" i="18"/>
  <c r="X134" i="19" s="1"/>
  <c r="W133" i="1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<sst xmlns="http://schemas.openxmlformats.org/spreadsheetml/2006/main" count="2047" uniqueCount="612">
  <si>
    <t>Лауазымдардың атауы</t>
  </si>
  <si>
    <t>аты-жөні</t>
  </si>
  <si>
    <t>шт.бір-лік</t>
  </si>
  <si>
    <t>коэф.</t>
  </si>
  <si>
    <t>лауазымды жалақы</t>
  </si>
  <si>
    <t>Директор</t>
  </si>
  <si>
    <t>Бас есепші</t>
  </si>
  <si>
    <t>Комендант</t>
  </si>
  <si>
    <t>Тігінші</t>
  </si>
  <si>
    <t>"Бекітемін"</t>
  </si>
  <si>
    <t>Тарификациялық комиссия мүшелері  :</t>
  </si>
  <si>
    <t>С-2</t>
  </si>
  <si>
    <t>С-1</t>
  </si>
  <si>
    <t>В3-4</t>
  </si>
  <si>
    <t>D-1</t>
  </si>
  <si>
    <t>V-IX</t>
  </si>
  <si>
    <t>X-XI</t>
  </si>
  <si>
    <t>барлығы</t>
  </si>
  <si>
    <t>Жаңа оқу жылына көрсеткіш</t>
  </si>
  <si>
    <t>барлық сағат саны апталық</t>
  </si>
  <si>
    <t xml:space="preserve">тарификация бойынша </t>
  </si>
  <si>
    <t>Оқу жоспары бойынша сағат саны</t>
  </si>
  <si>
    <t>№</t>
  </si>
  <si>
    <t>Аты-жөні</t>
  </si>
  <si>
    <t>пәні</t>
  </si>
  <si>
    <t>білімі</t>
  </si>
  <si>
    <t>өтілі</t>
  </si>
  <si>
    <t>коэф</t>
  </si>
  <si>
    <t>барлық жүкте-ме</t>
  </si>
  <si>
    <t xml:space="preserve">Апталық жуктеме сағаты </t>
  </si>
  <si>
    <t>Дәптер тексергені үшін</t>
  </si>
  <si>
    <t>часы 40%</t>
  </si>
  <si>
    <t>сағ</t>
  </si>
  <si>
    <t>соммасы</t>
  </si>
  <si>
    <t>сағ.</t>
  </si>
  <si>
    <t>категория</t>
  </si>
  <si>
    <t>еңбек өтілі</t>
  </si>
  <si>
    <t>жоғары</t>
  </si>
  <si>
    <t>Түркістан облысының  адами әлеуетті дамыту</t>
  </si>
  <si>
    <t>ағылшын</t>
  </si>
  <si>
    <t xml:space="preserve"> кабин</t>
  </si>
  <si>
    <t>магистр, доктор, наставник</t>
  </si>
  <si>
    <t>1 айдағы лауазымдық жалақы 25% бен қосқанда</t>
  </si>
  <si>
    <t>санаты
(жоғары, орта, 1,2)</t>
  </si>
  <si>
    <t>Қосымша төлемақылар</t>
  </si>
  <si>
    <t>модератор 30%</t>
  </si>
  <si>
    <t>сарапшы 
35%</t>
  </si>
  <si>
    <t>шебер
50%</t>
  </si>
  <si>
    <t xml:space="preserve">Зиянды және қауіпті еңбек жағдайлары 20%- 30% </t>
  </si>
  <si>
    <t>зерттеуші
40%</t>
  </si>
  <si>
    <t>кабинетке ақы төлеу</t>
  </si>
  <si>
    <t>доп кф</t>
  </si>
  <si>
    <t>ауылдық жердегі жұмысы үшін 25%</t>
  </si>
  <si>
    <t>БЛА</t>
  </si>
  <si>
    <t xml:space="preserve">түнгі уақытта жұмыс істегені үшін 50% </t>
  </si>
  <si>
    <t>мереке күндері жұмыс істегені үшін</t>
  </si>
  <si>
    <t>штаттық бірлік</t>
  </si>
  <si>
    <t>Косымша коэф</t>
  </si>
  <si>
    <t xml:space="preserve">Базалық ставка </t>
  </si>
  <si>
    <t>Білімі
жоғары, орта арнаулы</t>
  </si>
  <si>
    <t>Ауылдық жердегі жұмысы үшін 25%</t>
  </si>
  <si>
    <t>%</t>
  </si>
  <si>
    <t>Зияндық үшін 40%</t>
  </si>
  <si>
    <t>Қосымша төлемақылар шеберлік және сарапшы үшін РБ</t>
  </si>
  <si>
    <t>зерттеші
40%</t>
  </si>
  <si>
    <t>жаңартылған бағдарлама 
30%</t>
  </si>
  <si>
    <t>Айлық жалақы, теңге</t>
  </si>
  <si>
    <t xml:space="preserve">Жылдық жалақы, мың теңге  </t>
  </si>
  <si>
    <t>басшы лауазымы 30%, 50%, 100%</t>
  </si>
  <si>
    <t>бірінші</t>
  </si>
  <si>
    <t>екінші</t>
  </si>
  <si>
    <t>Барлығы</t>
  </si>
  <si>
    <t>Санаты
жоғары, 1, 2</t>
  </si>
  <si>
    <t>экология 20 %</t>
  </si>
  <si>
    <t>Өскенбай Ғалымжан Зұлпыхарұлы</t>
  </si>
  <si>
    <t>Оспанов Сейтжан</t>
  </si>
  <si>
    <t>Балабаев Болисбек Жапбарович</t>
  </si>
  <si>
    <t>Қайқыбаева Айман Бердіқұлқызы</t>
  </si>
  <si>
    <t>Арапбекова Зулфия Айтжановна</t>
  </si>
  <si>
    <t>Ошанова Зауре Бейсенбековна</t>
  </si>
  <si>
    <t>Джанкараева Ғазиза</t>
  </si>
  <si>
    <t>Есбола Жақсыгүл Мұхтарқызы</t>
  </si>
  <si>
    <t>Тастанбекова Куттыкыз Шадибековна</t>
  </si>
  <si>
    <t>Альтекова Гаухар Калихановна</t>
  </si>
  <si>
    <t>АРЫСТАНОВА ЖАНСЛУ САЙЛАУОВНА</t>
  </si>
  <si>
    <t>Жумагул Жаслан Баксиикулы</t>
  </si>
  <si>
    <t>Бектурова Гулшарат Нурмахановна</t>
  </si>
  <si>
    <t>Колчабекова Алия Амирбековна</t>
  </si>
  <si>
    <t>Турсынбаева Перуза Бертаевна</t>
  </si>
  <si>
    <t>Мнуар Ернат Рамазанұлы</t>
  </si>
  <si>
    <t>Алсейтова Айгуль Набиевна</t>
  </si>
  <si>
    <t>Таджимухаммад Нурсултан Ахрарулы</t>
  </si>
  <si>
    <t>КЕНЖИЕВА АЙГУЛЬ КИЗАТОВНА</t>
  </si>
  <si>
    <t xml:space="preserve">Мырзабаева Раушан Уразгалиевна </t>
  </si>
  <si>
    <t>Темирова Нуржамал Уаисовна</t>
  </si>
  <si>
    <t>Назиров Е</t>
  </si>
  <si>
    <t>Аманкулова Шолпан Ханалиевна</t>
  </si>
  <si>
    <t>Жолтаева Ақнұр Исаханқызы</t>
  </si>
  <si>
    <t>Омаров Ашимхан Карибаевич</t>
  </si>
  <si>
    <t>Омар Салима Амірханқызы</t>
  </si>
  <si>
    <t>Борибекова Жазира Пазиловна</t>
  </si>
  <si>
    <t>Айтмаханбетова Гульжазира Абеновна</t>
  </si>
  <si>
    <t>Беристемова Фариза Турсункуловна</t>
  </si>
  <si>
    <t>Байтөлеу Нұржан Қабденұлы</t>
  </si>
  <si>
    <t>Насирова Фатима Шамситдиновна</t>
  </si>
  <si>
    <t>Байсейтова Улбала Сейтбеккызы</t>
  </si>
  <si>
    <t>Суйіндік Назерке</t>
  </si>
  <si>
    <t>Құдайберген Нұрболат Маратұлы</t>
  </si>
  <si>
    <t>Ахметова Гулжан Сапаровна</t>
  </si>
  <si>
    <t>Дулатов Самат Рахымбаевич</t>
  </si>
  <si>
    <t>Бердыбаев Бейбит Асанович</t>
  </si>
  <si>
    <t>Бостанов Дастан Шырынханұлы</t>
  </si>
  <si>
    <t>Телемисов Женис</t>
  </si>
  <si>
    <t>Тогуспаева Пернекул Наурызбайқызы</t>
  </si>
  <si>
    <t>Кыдырбекова Жулдызай Балтабаевна</t>
  </si>
  <si>
    <t>Джумадуллаева Майра</t>
  </si>
  <si>
    <t>Усипбеков Аскаржан Суттибекович</t>
  </si>
  <si>
    <t>Камалова Әсем Тоғызбайқызы</t>
  </si>
  <si>
    <t>Арынов Асқар Кудасович</t>
  </si>
  <si>
    <t>Қалдыбай Самат Оразғалиұлы</t>
  </si>
  <si>
    <t>Серикова Майра Ергешовна</t>
  </si>
  <si>
    <t>Төлеш Ұлжарқын Арапбайқызы</t>
  </si>
  <si>
    <t>Макешова Гулжан Адаевна</t>
  </si>
  <si>
    <t>Нуржанбаева Айгерим</t>
  </si>
  <si>
    <t>Парпиев Иззатилла Уткирович</t>
  </si>
  <si>
    <t>Шегенова Айгерим Куанышовна</t>
  </si>
  <si>
    <t>Калдыбекова Меруерт Сабитовна</t>
  </si>
  <si>
    <t>Мәлкайдар Шоқан Мұратұлы</t>
  </si>
  <si>
    <t>Муратаев Адилбек Халиллулаевич</t>
  </si>
  <si>
    <t>Шагирова Мейрамкүл Кожабековна</t>
  </si>
  <si>
    <t>Есимбеков Канат Дилдабекович</t>
  </si>
  <si>
    <t>Керимбеков Олжас Мусабекович,</t>
  </si>
  <si>
    <t>Умбетов Руслан Балтабекович</t>
  </si>
  <si>
    <t>Мамешова Ұлжалғас</t>
  </si>
  <si>
    <t>Утенова Диана Қалмұратқызы</t>
  </si>
  <si>
    <t>Ақынова Мәншүк Берікқызы</t>
  </si>
  <si>
    <t>Утебаева Азиза Абдишукировна</t>
  </si>
  <si>
    <t>Жумадиллаев Элдар Паччаханович</t>
  </si>
  <si>
    <t>Нұржігіт Сабира Ерболқызы</t>
  </si>
  <si>
    <t>Құлбатыр  Рахман</t>
  </si>
  <si>
    <t>Бухарбаев Дамир Нурмаханович</t>
  </si>
  <si>
    <t>Бос орын</t>
  </si>
  <si>
    <t>Тарих пәні мұғалімі</t>
  </si>
  <si>
    <t>Физика пәнінің мұғалімі</t>
  </si>
  <si>
    <t>Биология пәнінің мұғалімі</t>
  </si>
  <si>
    <t>Қазақ тілі пәнінің мұғалімі</t>
  </si>
  <si>
    <t>орыс тілі  пәнінің мұғалімі</t>
  </si>
  <si>
    <t>Ағылшын  тілі пәнінің мұғалімі</t>
  </si>
  <si>
    <t xml:space="preserve">биология пәнінің мұғалімі </t>
  </si>
  <si>
    <t>Өзін өзі пәнінің мұғалімі</t>
  </si>
  <si>
    <t>Ән-кyй пәнінің мұғалім</t>
  </si>
  <si>
    <t>Физика пәнінің ағылшын тілінде беретін мұалімі</t>
  </si>
  <si>
    <t>өзін өзі тану пәнінің мұғалімі</t>
  </si>
  <si>
    <t>Тарих пәнінің мұғалім</t>
  </si>
  <si>
    <t>Бастапқы  әскери дайындық пәнінің  мұғалімі</t>
  </si>
  <si>
    <t>География пәнінің мұғалімі</t>
  </si>
  <si>
    <t>Физика пәнінінің мұғалімі</t>
  </si>
  <si>
    <t>Математика пәнінің мұғалімі</t>
  </si>
  <si>
    <t>Информатика пәнінің мұғалім</t>
  </si>
  <si>
    <t>Ағылшын тілі пәнінің мұғалімі</t>
  </si>
  <si>
    <t>Химия пәнінің мұғалімі</t>
  </si>
  <si>
    <t>химия  пәнінің мұғалімі</t>
  </si>
  <si>
    <t>"Шабыт" драма үйірмесі</t>
  </si>
  <si>
    <t>Тарих пәнінің мұғалімі</t>
  </si>
  <si>
    <t>Еңбек пәнінің мұғалім</t>
  </si>
  <si>
    <t>Дене шынықтыру мұғалім</t>
  </si>
  <si>
    <t>тарих пәнінің мұғалімі</t>
  </si>
  <si>
    <t xml:space="preserve">математика  пәнінің мұғалімі </t>
  </si>
  <si>
    <t>Қазақ тілі мен әдебиеті пәнінің мұғалімі</t>
  </si>
  <si>
    <t xml:space="preserve">ағылшын тілі пәнінің мұғалімі </t>
  </si>
  <si>
    <t>ағылшын тілі пәнінің мұғалімі</t>
  </si>
  <si>
    <t>химия пәнінің мұғалімі</t>
  </si>
  <si>
    <t>Информатика пәнінін агылшын тілі мұғалімі</t>
  </si>
  <si>
    <t>математика пәнінің мұғалім</t>
  </si>
  <si>
    <t>B-2-1</t>
  </si>
  <si>
    <t>B-2-4</t>
  </si>
  <si>
    <t>В-2-1</t>
  </si>
  <si>
    <t>B-2-3</t>
  </si>
  <si>
    <t>B-2-2</t>
  </si>
  <si>
    <t>В-2-2</t>
  </si>
  <si>
    <t>В-2-4</t>
  </si>
  <si>
    <t>В-2-3</t>
  </si>
  <si>
    <t>Ғылыми инновациялық  ісі жөніндегі орынбасары</t>
  </si>
  <si>
    <t xml:space="preserve">Оқу ісі жөніндегі орынбасары </t>
  </si>
  <si>
    <t xml:space="preserve"> Директордың шет тілі жөніндегі орынбасары</t>
  </si>
  <si>
    <t>Мәлікайдар Шоқан</t>
  </si>
  <si>
    <t>Тәрбие ісі жөніндегі орынбасары</t>
  </si>
  <si>
    <t>Балабаев Болысбек Жапбарович</t>
  </si>
  <si>
    <t xml:space="preserve">Мирзабаева Раушан Уразгалиевна </t>
  </si>
  <si>
    <t xml:space="preserve">Шаруашылық ісі жөніндегі орынбасары                                   </t>
  </si>
  <si>
    <t>Мамраимов Мурат Абдуахитулы</t>
  </si>
  <si>
    <t>Ермаханова Алия Жолдасбаевна</t>
  </si>
  <si>
    <t>Есепші</t>
  </si>
  <si>
    <t>Байгабулова Мадина Серікқызы</t>
  </si>
  <si>
    <t>Шаруашылық меңгерушісі</t>
  </si>
  <si>
    <t>АӘД ұйымдастырушы ұстазы</t>
  </si>
  <si>
    <t>Назиров Ерлан Патшаханович</t>
  </si>
  <si>
    <t>Педагог психолог</t>
  </si>
  <si>
    <t>Жұмаділова  Балнур</t>
  </si>
  <si>
    <t>Әлеуметтік педагог</t>
  </si>
  <si>
    <t>Кенжиева Айгуль Кизатовна</t>
  </si>
  <si>
    <t>Музыкалық жетекшісі</t>
  </si>
  <si>
    <t>Алтеков Галымжан Абилханович</t>
  </si>
  <si>
    <t>Үйірме жетекшісі</t>
  </si>
  <si>
    <t>Дәрігер</t>
  </si>
  <si>
    <t>Ерғалиева Жанат Сәрсенбайқызы</t>
  </si>
  <si>
    <t xml:space="preserve">Мейірбике </t>
  </si>
  <si>
    <t>Дадабаева Айнур Темирхановна</t>
  </si>
  <si>
    <t>Куздеубаева Ажар Ерболқызы</t>
  </si>
  <si>
    <t>Зертханашы</t>
  </si>
  <si>
    <t>Умирзакова Жазира Умирбаевна</t>
  </si>
  <si>
    <t>Умбетов Руслан</t>
  </si>
  <si>
    <t>Жумагул Жасулан</t>
  </si>
  <si>
    <t>Бухарбаев Дамир</t>
  </si>
  <si>
    <t>Усипбеков Асқаржан Суттибекович</t>
  </si>
  <si>
    <t>Мамешова Улжалғас Абамуслимовна</t>
  </si>
  <si>
    <t xml:space="preserve">Интернат меңгерушісі                                </t>
  </si>
  <si>
    <t>Есбола Жақсыгул</t>
  </si>
  <si>
    <t>Кітапхана меңгерушісі</t>
  </si>
  <si>
    <t>Мырзалиева Динара Рсмбетовна</t>
  </si>
  <si>
    <t>Кітапханашы</t>
  </si>
  <si>
    <t>Мырзалиева Динара Рсметовна</t>
  </si>
  <si>
    <t>Техника жөніндегі инженер</t>
  </si>
  <si>
    <t>Парпиев Иззатилла</t>
  </si>
  <si>
    <t>Менеджер</t>
  </si>
  <si>
    <t>Урумбаев Кайрат Есенгельдиевич</t>
  </si>
  <si>
    <t>Кадр мәселе. жөн. инспектор</t>
  </si>
  <si>
    <t>Жаримбетова Айнаш Халмаханбетовна</t>
  </si>
  <si>
    <t>Оқу бөлім хатшысы</t>
  </si>
  <si>
    <t>Нұржанбаева  Айгерім</t>
  </si>
  <si>
    <t>Іс қағаздарын жүргізуші</t>
  </si>
  <si>
    <t>Жумадилаев Эльдар</t>
  </si>
  <si>
    <t>тәрбиеші</t>
  </si>
  <si>
    <t>Естаева Нуржамал Баилбековна</t>
  </si>
  <si>
    <t>Дуйсенова Кулзада Казыкызы</t>
  </si>
  <si>
    <t>Елібай Айнұр Қалиқызы</t>
  </si>
  <si>
    <t>Тулемисова Кенжегуль Жанабергеновна</t>
  </si>
  <si>
    <t>Орхашова Гульнур Онласбековна</t>
  </si>
  <si>
    <t>Акпанова Сарсенкул Бердимуратовна</t>
  </si>
  <si>
    <t>Алтаева Гулжаудыр Бейсенбаевна</t>
  </si>
  <si>
    <t>Исаханова Дидар Абдрахмановна</t>
  </si>
  <si>
    <t>Бердалиева Аймкул Абдрахмановна</t>
  </si>
  <si>
    <t>Макулбекова Салтанат Берстемовна</t>
  </si>
  <si>
    <t>Сарыпбек Жәмила Мырзағалиқызы</t>
  </si>
  <si>
    <t>Боранбаева Гулнара Аскарбековна</t>
  </si>
  <si>
    <t>Сапарбаева Айгуль Тилеулескызы</t>
  </si>
  <si>
    <t>Турдиева Орынкул Акжоловна</t>
  </si>
  <si>
    <t>Ахметова Мадина Абайовна</t>
  </si>
  <si>
    <t>Токтарова Ляззат Турегельдиевна</t>
  </si>
  <si>
    <t>Садибекова Фатима Ергенбаевна</t>
  </si>
  <si>
    <t>Исмадиярова Раушан Шарифжановна</t>
  </si>
  <si>
    <t>Баймуратова Акжанат Амангелдиевна</t>
  </si>
  <si>
    <t>Данеева Молдир Махамбетовна</t>
  </si>
  <si>
    <t>Тотыбекова Нургул Тойлыбековна</t>
  </si>
  <si>
    <t>ДАРМЕНОВА АКБОТА ИСАБЕКОВНА</t>
  </si>
  <si>
    <t>Насиридинова Куланда Ибрахымовна</t>
  </si>
  <si>
    <t xml:space="preserve">Жаманкулова Гулжан Балкыбеккызы </t>
  </si>
  <si>
    <t>Тастанова Райхан</t>
  </si>
  <si>
    <t>Спатаева Баян</t>
  </si>
  <si>
    <t>Алдиева А</t>
  </si>
  <si>
    <t>тәрбиеші көмекшісі</t>
  </si>
  <si>
    <t>Исаева Багила Мусаевна</t>
  </si>
  <si>
    <t>Ильясова Эльмира Насырхановна</t>
  </si>
  <si>
    <t>Байганаева Насиба Сайрамбаевна</t>
  </si>
  <si>
    <t>Маханова Орал Балтабаевна</t>
  </si>
  <si>
    <t>Бейсебаева Дамира Камбарбековна</t>
  </si>
  <si>
    <t>Сатиева Салима</t>
  </si>
  <si>
    <t>Битұрсын Айымкүл Сбанбекқызы</t>
  </si>
  <si>
    <t>Бейсебаева Джамила</t>
  </si>
  <si>
    <t>Аббасова Гулнар</t>
  </si>
  <si>
    <t>Ақмурзина Набат</t>
  </si>
  <si>
    <t>Утельбаева Гульмира Сырлыбековна</t>
  </si>
  <si>
    <t>Керимбекова Гулнар Тастыбаевна</t>
  </si>
  <si>
    <t>Кіші мед. персонал</t>
  </si>
  <si>
    <t>Естебек Гулсім Тұрғанбекқызы</t>
  </si>
  <si>
    <t>Айдар Қаламқас</t>
  </si>
  <si>
    <t>Хатшы</t>
  </si>
  <si>
    <t>Утенова Диана</t>
  </si>
  <si>
    <t>Сантехник</t>
  </si>
  <si>
    <t>Самбаев Рустем Пердеханұлы</t>
  </si>
  <si>
    <t>Ағаш ұстасы</t>
  </si>
  <si>
    <t>Егизбеков Алпысбай Ташкенбаевич</t>
  </si>
  <si>
    <t>Кастелянша</t>
  </si>
  <si>
    <t>үй-жайларын тазалаушы</t>
  </si>
  <si>
    <t>Алекеева Данекуль Акжигитовна</t>
  </si>
  <si>
    <t>Бохаева Жансулу Жуматаевна.</t>
  </si>
  <si>
    <t>Тазабекова Айжан</t>
  </si>
  <si>
    <t>Сәрсенбаева Акжаркин Тогайбаевна</t>
  </si>
  <si>
    <t>Омарова Сандуғаш Ізетуллақызы</t>
  </si>
  <si>
    <t>Раева Раушан  Алихановна</t>
  </si>
  <si>
    <t>Шекербекова Лаззат Аблашовна</t>
  </si>
  <si>
    <t>Момекова Урлаим Тогайбаевна</t>
  </si>
  <si>
    <t>Асабаева Назира</t>
  </si>
  <si>
    <t>Ратанова Бибішай</t>
  </si>
  <si>
    <t>Буктербаева Еңілік</t>
  </si>
  <si>
    <t>Кір жуатын жұмысшы</t>
  </si>
  <si>
    <t>Халшураева Айжамал Жанбаровна</t>
  </si>
  <si>
    <t>Ғимаратты кешенді қызмет көрсететін жұмысшы</t>
  </si>
  <si>
    <t>Оразбаев Асилбек Баймурзаулы</t>
  </si>
  <si>
    <t>Көкенов Нияз</t>
  </si>
  <si>
    <t>Шинаров Бекжан</t>
  </si>
  <si>
    <t>Аула сыпырушы</t>
  </si>
  <si>
    <t>Рахманов Кенжебек</t>
  </si>
  <si>
    <t>Кіші қазандық операторы</t>
  </si>
  <si>
    <t>Кузетші</t>
  </si>
  <si>
    <t>Жаркинбеков Турганали</t>
  </si>
  <si>
    <t>Асанов Абдуаль Досанович.</t>
  </si>
  <si>
    <t>Егизбеков Багдат Ташкенбаевич</t>
  </si>
  <si>
    <t>Қилыбаев Марат</t>
  </si>
  <si>
    <t>Назар Нұрым</t>
  </si>
  <si>
    <t>Таджиков Нақыпбек</t>
  </si>
  <si>
    <t>Вахтер</t>
  </si>
  <si>
    <t>Сеитсултанова Жанар Тогайбаевна</t>
  </si>
  <si>
    <t>Бектаев Әлібек</t>
  </si>
  <si>
    <t>Электрик</t>
  </si>
  <si>
    <t>Жақсыбаев Нұржан</t>
  </si>
  <si>
    <t>Көлік жүргізуші</t>
  </si>
  <si>
    <t>Аривист</t>
  </si>
  <si>
    <t>А-1-2</t>
  </si>
  <si>
    <t>А-1-2-1</t>
  </si>
  <si>
    <t>А-2-2</t>
  </si>
  <si>
    <t>C-2</t>
  </si>
  <si>
    <t>С-3</t>
  </si>
  <si>
    <t>В-3-1</t>
  </si>
  <si>
    <t>В-4-1</t>
  </si>
  <si>
    <t>В-4-4</t>
  </si>
  <si>
    <t>B-3-1</t>
  </si>
  <si>
    <t>B-3-2</t>
  </si>
  <si>
    <t>B-3-3</t>
  </si>
  <si>
    <t>B-3-4</t>
  </si>
  <si>
    <t>В-3-3</t>
  </si>
  <si>
    <t>басқармасының "М.Тасова атындағы</t>
  </si>
  <si>
    <t xml:space="preserve">үш тілде оқытатын мамандандырылған </t>
  </si>
  <si>
    <t>№12 мектеп-интернат КММ-нің директоры</t>
  </si>
  <si>
    <t>________________  Ғ.З. Өскенбай</t>
  </si>
  <si>
    <t xml:space="preserve">"___"_____________ 2022ж. </t>
  </si>
  <si>
    <t>Өскенбай   Ғ</t>
  </si>
  <si>
    <t>Оспанов С</t>
  </si>
  <si>
    <t>Тогуспаева П</t>
  </si>
  <si>
    <t>Жаримбетова А</t>
  </si>
  <si>
    <t>Ермаханова А</t>
  </si>
  <si>
    <t>басқармасының  "М.Тасова атындағы</t>
  </si>
  <si>
    <t>№12 мектеп-интернат КММ-нің  директоры</t>
  </si>
  <si>
    <t>_____________ Ғ.З.Өскенбай</t>
  </si>
  <si>
    <t>оқушылар саны 01.01.2022ж.</t>
  </si>
  <si>
    <t>кл. Компл. Саны 01.01.2022ж.</t>
  </si>
  <si>
    <t>сынып саны 01.01.2022ж.</t>
  </si>
  <si>
    <t xml:space="preserve">
жоғары</t>
  </si>
  <si>
    <t xml:space="preserve"> орта арнаулы</t>
  </si>
  <si>
    <t>орта</t>
  </si>
  <si>
    <t>арнаулы орта</t>
  </si>
  <si>
    <t>ғимарат саны</t>
  </si>
  <si>
    <t>ғимараттың тазаланатың алаңы</t>
  </si>
  <si>
    <t>шаршы метр</t>
  </si>
  <si>
    <t>8500 м2</t>
  </si>
  <si>
    <t>Түркістан облысының  адами әлеуетті дамыту  басқармасыныңң "М.Тасова атындағы үш тілде оқытатын мамандандырылған №12 мектеп-интернат КММ-нің 
әкімшілік және азаматтық қызметкерлерінің   01 қаңтар 2022 жылдын  тарификациялау тізімі</t>
  </si>
  <si>
    <r>
      <t xml:space="preserve">Сыныптық біліктілігі үшін 
</t>
    </r>
    <r>
      <rPr>
        <b/>
        <i/>
        <sz val="10"/>
        <rFont val="Times New Roman"/>
        <family val="1"/>
        <charset val="204"/>
      </rPr>
      <t>(жүргізушілер)</t>
    </r>
  </si>
  <si>
    <t>1 ж дейн</t>
  </si>
  <si>
    <t>1 ж дейін</t>
  </si>
  <si>
    <t>18 жыл</t>
  </si>
  <si>
    <t>26 жыл 4 ай</t>
  </si>
  <si>
    <t>19 жыл 5 ай</t>
  </si>
  <si>
    <t>12 жыл 3 ай</t>
  </si>
  <si>
    <t>28 жыл 2 ай</t>
  </si>
  <si>
    <t>16 жыл 2 ай</t>
  </si>
  <si>
    <t>7 жыл 1 ай</t>
  </si>
  <si>
    <t>18 жыл 8 ай</t>
  </si>
  <si>
    <t>6 жыл</t>
  </si>
  <si>
    <t>25 жыл</t>
  </si>
  <si>
    <t>2 жыл 4 ай</t>
  </si>
  <si>
    <t>4 ай</t>
  </si>
  <si>
    <t>13 жыл 3 ай</t>
  </si>
  <si>
    <t>31 жыл 4 ай</t>
  </si>
  <si>
    <t>32 жыл</t>
  </si>
  <si>
    <t>22 жыл 1 ай</t>
  </si>
  <si>
    <t>15 жыл 9 ай</t>
  </si>
  <si>
    <t>10 жыл 1 ай</t>
  </si>
  <si>
    <t>10 жыл 4 ай</t>
  </si>
  <si>
    <t>7 жыл 4 ай</t>
  </si>
  <si>
    <t>12 жыл 4 ай</t>
  </si>
  <si>
    <t>33 жыл 2 ай</t>
  </si>
  <si>
    <t>28 жыл 5 ай</t>
  </si>
  <si>
    <t>11 жыл 1 ай</t>
  </si>
  <si>
    <t>3 жыл 6 ай</t>
  </si>
  <si>
    <t>11 жыл 4 ай</t>
  </si>
  <si>
    <t>8 жыл 9 ай</t>
  </si>
  <si>
    <t>31 жыл 9 ай</t>
  </si>
  <si>
    <t>27 жыл 9 ай</t>
  </si>
  <si>
    <t>19 жыл 7 ай</t>
  </si>
  <si>
    <t>16 жыл 4 ай</t>
  </si>
  <si>
    <t>13 жыл 9 ай</t>
  </si>
  <si>
    <t>24 жыл 3 ай</t>
  </si>
  <si>
    <t>18 жыл 4 ай</t>
  </si>
  <si>
    <t>19 жыл 4 ай</t>
  </si>
  <si>
    <t>19 жыл 1 ай</t>
  </si>
  <si>
    <t>16 жыл 3 ай</t>
  </si>
  <si>
    <t>15 жыл 5 ай</t>
  </si>
  <si>
    <t>28 жыл 3 ай</t>
  </si>
  <si>
    <t>15 жыл 8 ай</t>
  </si>
  <si>
    <t>15 жыл 3 ай</t>
  </si>
  <si>
    <t>14 жыл 3 ай</t>
  </si>
  <si>
    <t>11 жыл 5 ай</t>
  </si>
  <si>
    <t>11 жыл 3 ай</t>
  </si>
  <si>
    <t>8 жыл 5 ай</t>
  </si>
  <si>
    <t>11 жыл 7 ай</t>
  </si>
  <si>
    <t>15 жыл 6 ай</t>
  </si>
  <si>
    <t>22 жыл 9 ай</t>
  </si>
  <si>
    <t>20 жыл 3 ай</t>
  </si>
  <si>
    <t>17 жыл 5 ай</t>
  </si>
  <si>
    <t>14 жыл 9 ай</t>
  </si>
  <si>
    <t>17 жыл 8 ай</t>
  </si>
  <si>
    <t>30 жыл 2 ай</t>
  </si>
  <si>
    <t>9 жыл</t>
  </si>
  <si>
    <t>11 жыл 8 ай</t>
  </si>
  <si>
    <t>27 жыл 4 ай</t>
  </si>
  <si>
    <t>39 жыл 3 ай</t>
  </si>
  <si>
    <t>17 жыл 6 ай</t>
  </si>
  <si>
    <t>33 жыл 1 ай</t>
  </si>
  <si>
    <t>32 жыл 2 ай</t>
  </si>
  <si>
    <t>27 жыл 3 ай</t>
  </si>
  <si>
    <t>26 жыл 3 ай</t>
  </si>
  <si>
    <t>35 жыл</t>
  </si>
  <si>
    <t>4 жыл 4 ай</t>
  </si>
  <si>
    <t>32 жыл 1 ай</t>
  </si>
  <si>
    <t>5 ай</t>
  </si>
  <si>
    <t>15 жыл 10 ай</t>
  </si>
  <si>
    <t>21 жыл 9 ай</t>
  </si>
  <si>
    <t>22 жыл 4 ай</t>
  </si>
  <si>
    <t>21 жыл 2 ай</t>
  </si>
  <si>
    <t>20 жыл 4 ай</t>
  </si>
  <si>
    <t>16 жыл 8 ай</t>
  </si>
  <si>
    <t>18 жыл 5 ай</t>
  </si>
  <si>
    <t>21 жыл 3 ай</t>
  </si>
  <si>
    <t>20 жыл 2 ай</t>
  </si>
  <si>
    <t>17 жыл</t>
  </si>
  <si>
    <t>9 жыл 1 ай</t>
  </si>
  <si>
    <t>31 жыл 8 ай</t>
  </si>
  <si>
    <t>3 жыл 8 ай</t>
  </si>
  <si>
    <t>16 жыл 1 ай</t>
  </si>
  <si>
    <t>13 жыл 4 ай</t>
  </si>
  <si>
    <t>10 жыл 2 ай</t>
  </si>
  <si>
    <t>4 жыл 1 ай</t>
  </si>
  <si>
    <t>8 жыл 4 ай</t>
  </si>
  <si>
    <t>7 жыл 8 ай</t>
  </si>
  <si>
    <t>6 жыл 3 ай</t>
  </si>
  <si>
    <t>4 жыл 3 ай</t>
  </si>
  <si>
    <t>3 жыл 3 ай</t>
  </si>
  <si>
    <t>12 жыл 9 ай</t>
  </si>
  <si>
    <t>1 жыл 4 ай</t>
  </si>
  <si>
    <t>18 жыл 7 ай</t>
  </si>
  <si>
    <t>3 жыл 4 ай</t>
  </si>
  <si>
    <t>2 ай</t>
  </si>
  <si>
    <t>8 жыл 1 ай</t>
  </si>
  <si>
    <t>3 ай</t>
  </si>
  <si>
    <t>7-10 жж</t>
  </si>
  <si>
    <t>"Келісілген"</t>
  </si>
  <si>
    <t xml:space="preserve"> басқармасы басшысының </t>
  </si>
  <si>
    <t>орынбасары</t>
  </si>
  <si>
    <t>___________________А.Өсербаев</t>
  </si>
  <si>
    <t>"___"________________ 2022ж.</t>
  </si>
  <si>
    <t>Түркістан облысының  адами әлеуетті дамыту  басқармасыныңң "М.Тасова атындағы үш тілде оқытатын мамандандырылған №12 мектеп-интернат КММ-нің 
әкімшілік және азаматтық қызметкерлерінің   01 қаңтар 2022 жылдын  штат кестесі</t>
  </si>
  <si>
    <t>мұғалімдер</t>
  </si>
  <si>
    <t>Бас есепші:                              Ермаханова А.Ж.</t>
  </si>
  <si>
    <t>Еден жуушы</t>
  </si>
  <si>
    <t>1-4 сыныптар</t>
  </si>
  <si>
    <t xml:space="preserve">сағ            І-ІV  </t>
  </si>
  <si>
    <t>Сынып жетекшілігі үшін</t>
  </si>
  <si>
    <t>5-11 сыныптар</t>
  </si>
  <si>
    <t>Дәптерлерді және жұмыстарды тексергені үшін</t>
  </si>
  <si>
    <t>магистр, доктор, наставник, за ведение внеурочных спортивных занятий</t>
  </si>
  <si>
    <t xml:space="preserve"> кабин меңгерушісі </t>
  </si>
  <si>
    <t>ағылшын тілінде сабақ жүргізгеніне</t>
  </si>
  <si>
    <t>сомма</t>
  </si>
  <si>
    <t xml:space="preserve">сағат            </t>
  </si>
  <si>
    <t>ағылшын тілі</t>
  </si>
  <si>
    <t>бастауыш</t>
  </si>
  <si>
    <t>химия</t>
  </si>
  <si>
    <t>тарих</t>
  </si>
  <si>
    <t>биология</t>
  </si>
  <si>
    <t xml:space="preserve">физика </t>
  </si>
  <si>
    <t>математика</t>
  </si>
  <si>
    <t xml:space="preserve">география </t>
  </si>
  <si>
    <t>АӘД</t>
  </si>
  <si>
    <t>жоғ</t>
  </si>
  <si>
    <t>А1-3-1</t>
  </si>
  <si>
    <t>В2-4</t>
  </si>
  <si>
    <t xml:space="preserve">орта арнаулы </t>
  </si>
  <si>
    <t>музыка</t>
  </si>
  <si>
    <t>информатика</t>
  </si>
  <si>
    <t>"БЕКІТЕМІН"</t>
  </si>
  <si>
    <t xml:space="preserve">Түркістан облысы, Төлеби ауданы  </t>
  </si>
  <si>
    <t xml:space="preserve">сағ        V-IX   </t>
  </si>
  <si>
    <t xml:space="preserve">сағ                 X-XI   </t>
  </si>
  <si>
    <t>модератор                              30%</t>
  </si>
  <si>
    <r>
      <t xml:space="preserve">Сыныптық біліктілігі үшін 
</t>
    </r>
    <r>
      <rPr>
        <b/>
        <i/>
        <sz val="12"/>
        <rFont val="Times New Roman"/>
        <family val="1"/>
        <charset val="204"/>
      </rPr>
      <t>(жүргізушілер)</t>
    </r>
  </si>
  <si>
    <t>Қосымша білім беру педагогы</t>
  </si>
  <si>
    <t>Қарауыл</t>
  </si>
  <si>
    <t>Басшы лауазымы 30%, 50%, 100%</t>
  </si>
  <si>
    <t>Тәлімгер</t>
  </si>
  <si>
    <t>"КЕЛІСЕМІН"</t>
  </si>
  <si>
    <t>Зияндық үшін 40% (арнайы сыныпта жұмыс)</t>
  </si>
  <si>
    <t>Бас есепші:                                                                А.Кипшаков</t>
  </si>
  <si>
    <t>Бас есепші:                                                                     А.Кипшаков</t>
  </si>
  <si>
    <t>Ауезбаев Кенжехан Анарулы</t>
  </si>
  <si>
    <t>Директордың оқу ісі орынбасары</t>
  </si>
  <si>
    <t>Есмурзаев Бауыржан Куанышбайулы</t>
  </si>
  <si>
    <t>А1-4</t>
  </si>
  <si>
    <t>Директордың тәрбие ісі орынбасары</t>
  </si>
  <si>
    <t>Сазанбаев Төлеген Әбекұлы</t>
  </si>
  <si>
    <t>Директордың  бейіндік ісі орынбасары</t>
  </si>
  <si>
    <t>Ушкенова Гулзат Охапкызы</t>
  </si>
  <si>
    <t>Елбчибаев Берик Полатулы</t>
  </si>
  <si>
    <t>Мелдебекова Жанна Даумбеккызы</t>
  </si>
  <si>
    <t>В3-3</t>
  </si>
  <si>
    <t>Педагог ұйымдастырушы</t>
  </si>
  <si>
    <t>Есенқұлов Ерсұлтан Нарәліұлы</t>
  </si>
  <si>
    <t>Жанай Гүлмира Рүстемқызы</t>
  </si>
  <si>
    <t>Жапбашева Айгерим Нурлановна</t>
  </si>
  <si>
    <t>Садықбек Мейрамбек Саятұлы</t>
  </si>
  <si>
    <t>Тәрбиеші МАД</t>
  </si>
  <si>
    <t>Құттыбаева Багила Садыккызы</t>
  </si>
  <si>
    <t>Бекмурзаева Майра Акылбековна</t>
  </si>
  <si>
    <t>С2</t>
  </si>
  <si>
    <t xml:space="preserve">Бейсенбаева Жанар </t>
  </si>
  <si>
    <t>Талқанбаев Ерғали Қамытбекұлы</t>
  </si>
  <si>
    <t>С3</t>
  </si>
  <si>
    <t>Іс жүргізуші</t>
  </si>
  <si>
    <t>Арапова Аида Нурлановна</t>
  </si>
  <si>
    <t>Д1</t>
  </si>
  <si>
    <t>Тәрбиеші көмекшісі</t>
  </si>
  <si>
    <t>Рысалиева Тансык Нурмаханкызы</t>
  </si>
  <si>
    <t>Р-1</t>
  </si>
  <si>
    <t>Елшибаева Мейра Джаксылыккызы</t>
  </si>
  <si>
    <t>Тетік жөндеуші</t>
  </si>
  <si>
    <t>Бердиев Айдос Шалқарбайұлы</t>
  </si>
  <si>
    <t>Р-3</t>
  </si>
  <si>
    <t xml:space="preserve">Бейсенбаев Жандарбек </t>
  </si>
  <si>
    <t>Алдабергенова Калдыкүл Умирзахкызы</t>
  </si>
  <si>
    <t>Исабаева Пернекул Абибуллакызы</t>
  </si>
  <si>
    <t>Аргинбекова Роза Қойлыбаевна</t>
  </si>
  <si>
    <t>Садыбеков Мақсат Сайрамбайұлы</t>
  </si>
  <si>
    <t>Мырзахметов Жарылқасын Шанкозулы</t>
  </si>
  <si>
    <t>Кулатаев Калыбек Жакипович</t>
  </si>
  <si>
    <t>Оқу ісі жөніндегі орынбасары:                             Б.Есмурзаев</t>
  </si>
  <si>
    <t>__________К.Ауезбаев</t>
  </si>
  <si>
    <t>Оқу ісі жөніндегі орынбасары:                                    Б.Есмурзаев</t>
  </si>
  <si>
    <t>Айтмурзаева Багила Оскенкызы</t>
  </si>
  <si>
    <t>Амангелдиева Нурсулу Сапабековна</t>
  </si>
  <si>
    <t>Аманкулова Айна Умараликызы</t>
  </si>
  <si>
    <t>Елшибаев Малик Камытбекулы</t>
  </si>
  <si>
    <t>Есжанов Галымжан Пернебайулы</t>
  </si>
  <si>
    <t>Ескаирова Шынар Бериковна</t>
  </si>
  <si>
    <t>Исаева Айнур Исмаилкызы</t>
  </si>
  <si>
    <t>Кадырбаева Сарбиназ Бахытовна</t>
  </si>
  <si>
    <t>Нуржанова Молдир Бахрамовна</t>
  </si>
  <si>
    <t>Ордабекова Лазад Июльбеккызы</t>
  </si>
  <si>
    <t>Райымбекова Айман Лесбековна</t>
  </si>
  <si>
    <t>Мамаева Гүлден Бурибековна</t>
  </si>
  <si>
    <t>Толегенова Жазира Абдикулкызы</t>
  </si>
  <si>
    <t>Тулеева Жанар Закировна</t>
  </si>
  <si>
    <t>Турекулова Каламкас Ермековна</t>
  </si>
  <si>
    <t>Урикбаева Сандикул Калауовна</t>
  </si>
  <si>
    <t>Бастауыш сынып пәні мұғалімі</t>
  </si>
  <si>
    <t>информатика пәні мұғалімі</t>
  </si>
  <si>
    <t>Орыс тілі және әдебиеті</t>
  </si>
  <si>
    <t>көркем енбек</t>
  </si>
  <si>
    <t>дене шынықтыру пәні мұғалімі</t>
  </si>
  <si>
    <t>қазақ тілі мен әдебиеті пәні</t>
  </si>
  <si>
    <t>Омирбекова Х</t>
  </si>
  <si>
    <t>Рсалиева Т.</t>
  </si>
  <si>
    <t>Тәрбиеші</t>
  </si>
  <si>
    <t>орта арна</t>
  </si>
  <si>
    <t>D1</t>
  </si>
  <si>
    <t>__________Б.Тойлыбаев</t>
  </si>
  <si>
    <t>Есепші:                                                                             Ж.Абдукеримова</t>
  </si>
  <si>
    <t>Есепші:                                                                   Ж.Абдукеримова</t>
  </si>
  <si>
    <t>Абдалиева Карлыгаш Нуридиновна</t>
  </si>
  <si>
    <t>Тайша Ерболсын Нұржабайұлы</t>
  </si>
  <si>
    <t>Мелдебекова Жанна Даумбекқызы</t>
  </si>
  <si>
    <t>әлеу пед</t>
  </si>
  <si>
    <t>Кәсіби бағдар беруші</t>
  </si>
  <si>
    <t xml:space="preserve">білім бөлімінің </t>
  </si>
  <si>
    <t xml:space="preserve">"Қасқасу ШЖЖББМ" КММ директоры </t>
  </si>
  <si>
    <t xml:space="preserve"> </t>
  </si>
  <si>
    <t>Есепші:                                                                           Ж.Абдукеримова</t>
  </si>
  <si>
    <t xml:space="preserve">Экономист:                                                                    Байжігіт М.                              </t>
  </si>
  <si>
    <t>Бас есепші:                                                                   А.Кипшаков</t>
  </si>
  <si>
    <t xml:space="preserve">Экономист:                                                                  Байжігіт М.                                  </t>
  </si>
  <si>
    <t xml:space="preserve">Экономист:                                                                 Байжігіт М.                              </t>
  </si>
  <si>
    <t>26,75</t>
  </si>
  <si>
    <t>Тағабай Аийда</t>
  </si>
  <si>
    <t xml:space="preserve">                 "БЕКІТЕМІН"</t>
  </si>
  <si>
    <t xml:space="preserve">                 Түркістан облысы, Төлеби ауданы  </t>
  </si>
  <si>
    <t xml:space="preserve">                   білім бөлімінің </t>
  </si>
  <si>
    <t xml:space="preserve">                 "Қасқасу ШЖЖББМ" КММ директоры </t>
  </si>
  <si>
    <t xml:space="preserve">                 __________К.Ауезбаев</t>
  </si>
  <si>
    <t>басшысы</t>
  </si>
  <si>
    <t xml:space="preserve">Вокант </t>
  </si>
  <si>
    <t>Абдижалалов Жахонгир Кудратулы</t>
  </si>
  <si>
    <t>Түркістан облысы, Төлеби ауданы білім бөлімінің "Қасқасу ШЖЖББМ" КММ-нің 
әкімшілік және азаматтық қызметкерлерінің   05 қыркүйек  2024 жылдың  тарификациялау тізімі</t>
  </si>
  <si>
    <t>Избасарова Жансулу Нуржанкызы</t>
  </si>
  <si>
    <t>Бейсенбаев Мухтар Боранбайулы</t>
  </si>
  <si>
    <t>Тургынбаев Маулен Маханулы</t>
  </si>
  <si>
    <t>Есмурзаев Мырзагали Сиргебайулы</t>
  </si>
  <si>
    <t>108,5</t>
  </si>
  <si>
    <t>Оператор</t>
  </si>
  <si>
    <t>Түркістан облысы, Төлеби ауданы білім  бөлімінің "Қасқасу ШЖЖББМ" КММ-нің 
әкімшілік және азаматтық қызметкерлерінің   05 қаңтар  2025  жылдың  тарификациялау тізімі</t>
  </si>
  <si>
    <t>Түркістан облысы, Төлеби ауданы білім бөлімінің "Қасқасу ШЖЖББМ" КММ-нің 
шағын орталық қызметкерлерінің  05 қаңтар  2025 жылдың  тарификациялау тізімі</t>
  </si>
  <si>
    <t>10,7</t>
  </si>
  <si>
    <t>13,7</t>
  </si>
  <si>
    <t>Түркістан облысы, Төлеби ауданы білім бөлімінің "Қасқасу ШЖЖББМ" КММ-нің 
әкімшілік және азаматтық қызметкерлерінің   05 қаңтар  2025  жылдың  тарификациялау тізімі</t>
  </si>
  <si>
    <t>,,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</si>
</sst>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"/>
    <numFmt numFmtId="166" formatCode="#,##0.0"/>
  </numFmts>
  <fonts count="40" x14ac:knownFonts="1">
    <font>
      <sz val="10"/>
      <name val="Arial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sz val="7"/>
      <name val="Times New Roman"/>
      <family val="1"/>
      <charset val="204"/>
    </font>
    <font>
      <b/>
      <sz val="10.5"/>
      <name val="Times New Roman"/>
      <family val="1"/>
      <charset val="204"/>
    </font>
    <font>
      <b/>
      <sz val="7"/>
      <name val="Times New Roman"/>
      <family val="1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1"/>
      <name val="Arial"/>
      <family val="2"/>
      <charset val="204"/>
    </font>
    <font>
      <b/>
      <i/>
      <sz val="12"/>
      <name val="Times New Roman"/>
      <family val="1"/>
      <charset val="204"/>
    </font>
    <font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7"/>
      <color rgb="FFFF0000"/>
      <name val="Times New Roman"/>
      <family val="1"/>
      <charset val="204"/>
    </font>
    <font>
      <sz val="10"/>
      <color rgb="FFFF0000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.5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333333"/>
      <name val="Arial"/>
      <family val="2"/>
      <charset val="204"/>
    </font>
    <font>
      <sz val="9"/>
      <name val="Arial"/>
      <family val="2"/>
      <charset val="204"/>
    </font>
    <font>
      <sz val="9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4" fillId="0" borderId="0"/>
    <xf numFmtId="0" fontId="20" fillId="0" borderId="0"/>
    <xf numFmtId="0" fontId="10" fillId="0" borderId="0"/>
    <xf numFmtId="164" fontId="1" fillId="0" borderId="0" applyFont="0" applyFill="0" applyBorder="0" applyAlignment="0" applyProtection="0"/>
  </cellStyleXfs>
  <cellXfs count="510">
    <xf numFmtId="0" fontId="0" fillId="0" borderId="0" xfId="0"/>
    <xf numFmtId="0" fontId="3" fillId="0" borderId="0" xfId="0" applyFont="1" applyAlignment="1">
      <alignment horizontal="center"/>
    </xf>
    <xf numFmtId="0" fontId="11" fillId="0" borderId="0" xfId="0" applyFont="1"/>
    <xf numFmtId="0" fontId="3" fillId="0" borderId="0" xfId="0" applyFont="1"/>
    <xf numFmtId="1" fontId="9" fillId="0" borderId="0" xfId="0" applyNumberFormat="1" applyFont="1" applyAlignment="1">
      <alignment horizontal="center"/>
    </xf>
    <xf numFmtId="0" fontId="4" fillId="0" borderId="0" xfId="0" applyFont="1"/>
    <xf numFmtId="49" fontId="4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10" fillId="0" borderId="0" xfId="0" applyFon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9" fontId="12" fillId="0" borderId="1" xfId="0" applyNumberFormat="1" applyFont="1" applyBorder="1" applyAlignment="1">
      <alignment horizontal="center" vertical="center"/>
    </xf>
    <xf numFmtId="3" fontId="3" fillId="0" borderId="0" xfId="0" applyNumberFormat="1" applyFont="1"/>
    <xf numFmtId="3" fontId="4" fillId="0" borderId="0" xfId="0" applyNumberFormat="1" applyFont="1"/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vertical="center"/>
    </xf>
    <xf numFmtId="3" fontId="13" fillId="0" borderId="0" xfId="0" applyNumberFormat="1" applyFont="1"/>
    <xf numFmtId="9" fontId="3" fillId="0" borderId="1" xfId="0" applyNumberFormat="1" applyFont="1" applyBorder="1" applyAlignment="1">
      <alignment horizontal="center" vertical="center"/>
    </xf>
    <xf numFmtId="9" fontId="0" fillId="0" borderId="0" xfId="0" applyNumberFormat="1"/>
    <xf numFmtId="9" fontId="11" fillId="0" borderId="0" xfId="0" applyNumberFormat="1" applyFont="1"/>
    <xf numFmtId="9" fontId="3" fillId="0" borderId="0" xfId="0" applyNumberFormat="1" applyFont="1"/>
    <xf numFmtId="9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/>
    </xf>
    <xf numFmtId="9" fontId="7" fillId="0" borderId="1" xfId="0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3" fontId="0" fillId="0" borderId="0" xfId="0" applyNumberFormat="1"/>
    <xf numFmtId="3" fontId="11" fillId="0" borderId="0" xfId="0" applyNumberFormat="1" applyFont="1"/>
    <xf numFmtId="3" fontId="12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1" fontId="7" fillId="0" borderId="0" xfId="0" applyNumberFormat="1" applyFont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165" fontId="9" fillId="0" borderId="0" xfId="0" applyNumberFormat="1" applyFont="1" applyAlignment="1">
      <alignment horizontal="center"/>
    </xf>
    <xf numFmtId="3" fontId="9" fillId="0" borderId="0" xfId="0" applyNumberFormat="1" applyFont="1"/>
    <xf numFmtId="3" fontId="7" fillId="0" borderId="1" xfId="0" applyNumberFormat="1" applyFont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left" vertical="center" wrapText="1"/>
    </xf>
    <xf numFmtId="0" fontId="2" fillId="2" borderId="16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top" wrapText="1"/>
    </xf>
    <xf numFmtId="0" fontId="2" fillId="2" borderId="1" xfId="1" applyFont="1" applyFill="1" applyBorder="1" applyAlignment="1">
      <alignment vertical="top" wrapText="1"/>
    </xf>
    <xf numFmtId="164" fontId="2" fillId="2" borderId="16" xfId="10" applyFont="1" applyFill="1" applyBorder="1" applyAlignment="1">
      <alignment horizontal="left" vertical="center" wrapText="1"/>
    </xf>
    <xf numFmtId="0" fontId="2" fillId="2" borderId="2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vertical="center" wrapText="1"/>
    </xf>
    <xf numFmtId="0" fontId="2" fillId="2" borderId="1" xfId="1" applyFont="1" applyFill="1" applyBorder="1" applyAlignment="1">
      <alignment vertical="center"/>
    </xf>
    <xf numFmtId="0" fontId="2" fillId="2" borderId="0" xfId="1" applyFont="1" applyFill="1" applyAlignment="1">
      <alignment horizontal="left" vertical="center" wrapText="1"/>
    </xf>
    <xf numFmtId="0" fontId="2" fillId="2" borderId="17" xfId="1" applyFont="1" applyFill="1" applyBorder="1" applyAlignment="1">
      <alignment horizontal="left" vertical="center" wrapText="1"/>
    </xf>
    <xf numFmtId="0" fontId="5" fillId="2" borderId="4" xfId="1" applyFont="1" applyFill="1" applyBorder="1" applyAlignment="1">
      <alignment horizontal="center" vertical="center"/>
    </xf>
    <xf numFmtId="1" fontId="5" fillId="2" borderId="1" xfId="1" applyNumberFormat="1" applyFont="1" applyFill="1" applyBorder="1" applyAlignment="1">
      <alignment horizontal="center" vertical="center"/>
    </xf>
    <xf numFmtId="1" fontId="5" fillId="2" borderId="4" xfId="1" applyNumberFormat="1" applyFont="1" applyFill="1" applyBorder="1" applyAlignment="1">
      <alignment horizontal="center" vertical="center"/>
    </xf>
    <xf numFmtId="1" fontId="3" fillId="2" borderId="1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" fontId="8" fillId="2" borderId="0" xfId="0" applyNumberFormat="1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1" fontId="8" fillId="2" borderId="0" xfId="1" applyNumberFormat="1" applyFont="1" applyFill="1" applyAlignment="1">
      <alignment horizontal="left" vertical="center"/>
    </xf>
    <xf numFmtId="0" fontId="7" fillId="0" borderId="0" xfId="1" applyFont="1" applyAlignment="1">
      <alignment vertical="center"/>
    </xf>
    <xf numFmtId="1" fontId="7" fillId="0" borderId="0" xfId="1" applyNumberFormat="1" applyFont="1" applyAlignment="1">
      <alignment vertical="center"/>
    </xf>
    <xf numFmtId="165" fontId="7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165" fontId="7" fillId="0" borderId="0" xfId="1" applyNumberFormat="1" applyFont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7" fillId="0" borderId="1" xfId="1" applyFont="1" applyBorder="1" applyAlignment="1">
      <alignment vertical="center"/>
    </xf>
    <xf numFmtId="0" fontId="16" fillId="0" borderId="0" xfId="1" applyFont="1" applyAlignment="1">
      <alignment vertical="center"/>
    </xf>
    <xf numFmtId="165" fontId="16" fillId="0" borderId="0" xfId="1" applyNumberFormat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165" fontId="16" fillId="0" borderId="0" xfId="1" applyNumberFormat="1" applyFont="1" applyAlignment="1">
      <alignment vertical="center"/>
    </xf>
    <xf numFmtId="0" fontId="7" fillId="0" borderId="4" xfId="1" applyFont="1" applyBorder="1" applyAlignment="1">
      <alignment vertical="center"/>
    </xf>
    <xf numFmtId="0" fontId="7" fillId="0" borderId="5" xfId="1" applyFont="1" applyBorder="1" applyAlignment="1">
      <alignment vertical="center"/>
    </xf>
    <xf numFmtId="1" fontId="7" fillId="0" borderId="1" xfId="1" applyNumberFormat="1" applyFont="1" applyBorder="1" applyAlignment="1">
      <alignment vertical="center"/>
    </xf>
    <xf numFmtId="0" fontId="7" fillId="0" borderId="4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1" xfId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/>
    </xf>
    <xf numFmtId="49" fontId="2" fillId="0" borderId="0" xfId="0" applyNumberFormat="1" applyFont="1"/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22" fillId="0" borderId="0" xfId="0" applyFont="1"/>
    <xf numFmtId="2" fontId="22" fillId="2" borderId="1" xfId="0" applyNumberFormat="1" applyFont="1" applyFill="1" applyBorder="1" applyAlignment="1">
      <alignment horizontal="center" vertical="center" wrapText="1"/>
    </xf>
    <xf numFmtId="2" fontId="22" fillId="2" borderId="1" xfId="1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26" fillId="2" borderId="1" xfId="1" applyNumberFormat="1" applyFont="1" applyFill="1" applyBorder="1" applyAlignment="1">
      <alignment horizontal="center" vertical="center"/>
    </xf>
    <xf numFmtId="2" fontId="27" fillId="2" borderId="1" xfId="1" applyNumberFormat="1" applyFont="1" applyFill="1" applyBorder="1" applyAlignment="1">
      <alignment horizontal="center" vertical="center"/>
    </xf>
    <xf numFmtId="2" fontId="26" fillId="2" borderId="10" xfId="1" applyNumberFormat="1" applyFont="1" applyFill="1" applyBorder="1" applyAlignment="1">
      <alignment horizontal="center" vertical="center"/>
    </xf>
    <xf numFmtId="2" fontId="26" fillId="2" borderId="4" xfId="1" applyNumberFormat="1" applyFont="1" applyFill="1" applyBorder="1" applyAlignment="1">
      <alignment horizontal="center" vertical="center"/>
    </xf>
    <xf numFmtId="3" fontId="24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3" fontId="7" fillId="2" borderId="10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5" fontId="16" fillId="0" borderId="0" xfId="1" applyNumberFormat="1" applyFont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2" fontId="22" fillId="0" borderId="1" xfId="0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3" fontId="9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vertical="center"/>
    </xf>
    <xf numFmtId="3" fontId="2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9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9" fontId="8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4" fontId="9" fillId="0" borderId="1" xfId="0" applyNumberFormat="1" applyFont="1" applyBorder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  <xf numFmtId="3" fontId="16" fillId="0" borderId="0" xfId="1" applyNumberFormat="1" applyFont="1" applyAlignment="1">
      <alignment horizontal="center" vertical="center"/>
    </xf>
    <xf numFmtId="3" fontId="16" fillId="0" borderId="0" xfId="1" applyNumberFormat="1" applyFont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vertical="center" wrapText="1"/>
    </xf>
    <xf numFmtId="1" fontId="9" fillId="0" borderId="0" xfId="1" applyNumberFormat="1" applyFont="1" applyAlignment="1">
      <alignment vertical="center" wrapText="1"/>
    </xf>
    <xf numFmtId="165" fontId="3" fillId="2" borderId="4" xfId="1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center" wrapText="1"/>
    </xf>
    <xf numFmtId="49" fontId="9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wrapText="1"/>
    </xf>
    <xf numFmtId="0" fontId="17" fillId="0" borderId="0" xfId="0" applyFont="1" applyAlignment="1">
      <alignment wrapText="1"/>
    </xf>
    <xf numFmtId="0" fontId="2" fillId="2" borderId="2" xfId="1" applyFont="1" applyFill="1" applyBorder="1" applyAlignment="1">
      <alignment vertical="top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top" wrapText="1"/>
    </xf>
    <xf numFmtId="0" fontId="5" fillId="0" borderId="1" xfId="1" applyFont="1" applyBorder="1" applyAlignment="1">
      <alignment horizontal="center" vertical="center"/>
    </xf>
    <xf numFmtId="165" fontId="3" fillId="0" borderId="4" xfId="1" applyNumberFormat="1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8" fillId="0" borderId="0" xfId="0" applyFont="1"/>
    <xf numFmtId="3" fontId="7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165" fontId="7" fillId="0" borderId="1" xfId="0" applyNumberFormat="1" applyFont="1" applyBorder="1"/>
    <xf numFmtId="0" fontId="22" fillId="0" borderId="1" xfId="0" applyFont="1" applyBorder="1"/>
    <xf numFmtId="3" fontId="2" fillId="0" borderId="1" xfId="0" applyNumberFormat="1" applyFont="1" applyBorder="1"/>
    <xf numFmtId="1" fontId="7" fillId="0" borderId="1" xfId="0" applyNumberFormat="1" applyFont="1" applyBorder="1"/>
    <xf numFmtId="0" fontId="9" fillId="0" borderId="0" xfId="5" applyFont="1" applyAlignment="1">
      <alignment horizontal="left"/>
    </xf>
    <xf numFmtId="0" fontId="8" fillId="2" borderId="1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1" fontId="8" fillId="2" borderId="1" xfId="1" applyNumberFormat="1" applyFont="1" applyFill="1" applyBorder="1" applyAlignment="1">
      <alignment horizontal="center" vertical="center" wrapText="1"/>
    </xf>
    <xf numFmtId="165" fontId="8" fillId="2" borderId="1" xfId="1" applyNumberFormat="1" applyFont="1" applyFill="1" applyBorder="1" applyAlignment="1">
      <alignment horizontal="center" vertical="center" wrapText="1"/>
    </xf>
    <xf numFmtId="0" fontId="8" fillId="2" borderId="0" xfId="1" applyFont="1" applyFill="1" applyAlignment="1">
      <alignment vertical="center"/>
    </xf>
    <xf numFmtId="0" fontId="4" fillId="2" borderId="0" xfId="0" applyFont="1" applyFill="1"/>
    <xf numFmtId="165" fontId="8" fillId="2" borderId="0" xfId="1" applyNumberFormat="1" applyFont="1" applyFill="1" applyAlignment="1">
      <alignment horizontal="center" vertical="center"/>
    </xf>
    <xf numFmtId="3" fontId="8" fillId="2" borderId="0" xfId="1" applyNumberFormat="1" applyFont="1" applyFill="1" applyAlignment="1">
      <alignment horizontal="center" vertical="center"/>
    </xf>
    <xf numFmtId="1" fontId="8" fillId="2" borderId="0" xfId="1" applyNumberFormat="1" applyFont="1" applyFill="1" applyAlignment="1">
      <alignment vertical="center"/>
    </xf>
    <xf numFmtId="0" fontId="7" fillId="2" borderId="0" xfId="0" applyFont="1" applyFill="1"/>
    <xf numFmtId="3" fontId="11" fillId="2" borderId="0" xfId="0" applyNumberFormat="1" applyFont="1" applyFill="1"/>
    <xf numFmtId="0" fontId="11" fillId="2" borderId="0" xfId="0" applyFont="1" applyFill="1"/>
    <xf numFmtId="3" fontId="3" fillId="2" borderId="0" xfId="0" applyNumberFormat="1" applyFont="1" applyFill="1"/>
    <xf numFmtId="3" fontId="7" fillId="2" borderId="0" xfId="0" applyNumberFormat="1" applyFont="1" applyFill="1"/>
    <xf numFmtId="3" fontId="4" fillId="2" borderId="0" xfId="0" applyNumberFormat="1" applyFont="1" applyFill="1"/>
    <xf numFmtId="0" fontId="4" fillId="2" borderId="0" xfId="0" applyFont="1" applyFill="1" applyAlignment="1">
      <alignment horizontal="left"/>
    </xf>
    <xf numFmtId="0" fontId="8" fillId="2" borderId="0" xfId="1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 wrapText="1"/>
    </xf>
    <xf numFmtId="0" fontId="28" fillId="2" borderId="0" xfId="0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9" fontId="4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vertical="center"/>
    </xf>
    <xf numFmtId="3" fontId="8" fillId="2" borderId="1" xfId="0" applyNumberFormat="1" applyFont="1" applyFill="1" applyBorder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0" fontId="13" fillId="2" borderId="0" xfId="0" applyFont="1" applyFill="1"/>
    <xf numFmtId="0" fontId="8" fillId="2" borderId="0" xfId="0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0" fontId="28" fillId="2" borderId="0" xfId="0" applyFont="1" applyFill="1"/>
    <xf numFmtId="9" fontId="11" fillId="2" borderId="0" xfId="0" applyNumberFormat="1" applyFont="1" applyFill="1"/>
    <xf numFmtId="0" fontId="0" fillId="2" borderId="0" xfId="0" applyFill="1"/>
    <xf numFmtId="0" fontId="19" fillId="2" borderId="0" xfId="0" applyFont="1" applyFill="1"/>
    <xf numFmtId="0" fontId="17" fillId="2" borderId="0" xfId="0" applyFont="1" applyFill="1" applyAlignment="1">
      <alignment wrapText="1"/>
    </xf>
    <xf numFmtId="0" fontId="30" fillId="2" borderId="0" xfId="0" applyFont="1" applyFill="1"/>
    <xf numFmtId="3" fontId="0" fillId="2" borderId="0" xfId="0" applyNumberFormat="1" applyFill="1"/>
    <xf numFmtId="0" fontId="0" fillId="2" borderId="0" xfId="0" applyFill="1" applyAlignment="1">
      <alignment horizontal="center" vertical="center"/>
    </xf>
    <xf numFmtId="0" fontId="10" fillId="2" borderId="0" xfId="0" applyFont="1" applyFill="1"/>
    <xf numFmtId="9" fontId="0" fillId="2" borderId="0" xfId="0" applyNumberFormat="1" applyFill="1"/>
    <xf numFmtId="0" fontId="2" fillId="2" borderId="0" xfId="0" applyFont="1" applyFill="1"/>
    <xf numFmtId="0" fontId="2" fillId="2" borderId="0" xfId="0" applyFont="1" applyFill="1" applyAlignment="1">
      <alignment horizontal="center" vertical="top"/>
    </xf>
    <xf numFmtId="3" fontId="2" fillId="2" borderId="0" xfId="0" applyNumberFormat="1" applyFont="1" applyFill="1"/>
    <xf numFmtId="0" fontId="22" fillId="2" borderId="0" xfId="0" applyFont="1" applyFill="1"/>
    <xf numFmtId="0" fontId="2" fillId="2" borderId="0" xfId="0" applyFont="1" applyFill="1" applyAlignment="1">
      <alignment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9" fontId="8" fillId="2" borderId="1" xfId="0" applyNumberFormat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0" borderId="10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/>
    <xf numFmtId="0" fontId="4" fillId="0" borderId="0" xfId="0" applyFont="1" applyAlignment="1">
      <alignment horizontal="center" vertical="center" wrapText="1"/>
    </xf>
    <xf numFmtId="0" fontId="35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top"/>
    </xf>
    <xf numFmtId="0" fontId="23" fillId="2" borderId="0" xfId="0" applyFont="1" applyFill="1"/>
    <xf numFmtId="49" fontId="7" fillId="2" borderId="0" xfId="0" applyNumberFormat="1" applyFont="1" applyFill="1"/>
    <xf numFmtId="1" fontId="8" fillId="2" borderId="0" xfId="1" applyNumberFormat="1" applyFont="1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2" borderId="1" xfId="8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49" fontId="8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17" fillId="2" borderId="10" xfId="9" applyFont="1" applyFill="1" applyBorder="1" applyAlignment="1" applyProtection="1">
      <alignment horizontal="left" vertical="center" wrapText="1" shrinkToFit="1"/>
      <protection hidden="1"/>
    </xf>
    <xf numFmtId="0" fontId="17" fillId="2" borderId="10" xfId="9" applyFont="1" applyFill="1" applyBorder="1" applyAlignment="1" applyProtection="1">
      <alignment vertical="center" wrapText="1" shrinkToFit="1"/>
      <protection hidden="1"/>
    </xf>
    <xf numFmtId="0" fontId="17" fillId="2" borderId="10" xfId="9" applyFont="1" applyFill="1" applyBorder="1" applyAlignment="1" applyProtection="1">
      <alignment horizontal="center" vertical="center" wrapText="1" shrinkToFit="1"/>
      <protection hidden="1"/>
    </xf>
    <xf numFmtId="2" fontId="17" fillId="2" borderId="10" xfId="9" applyNumberFormat="1" applyFont="1" applyFill="1" applyBorder="1" applyAlignment="1" applyProtection="1">
      <alignment horizontal="center" vertical="center" wrapText="1" shrinkToFit="1"/>
      <protection hidden="1"/>
    </xf>
    <xf numFmtId="1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" fontId="8" fillId="2" borderId="10" xfId="9" applyNumberFormat="1" applyFont="1" applyFill="1" applyBorder="1" applyAlignment="1" applyProtection="1">
      <alignment horizontal="center" vertical="center" wrapText="1" shrinkToFit="1"/>
      <protection hidden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8" applyFont="1" applyFill="1" applyBorder="1" applyAlignment="1">
      <alignment horizontal="left" vertical="center" wrapText="1"/>
    </xf>
    <xf numFmtId="0" fontId="36" fillId="2" borderId="1" xfId="0" applyFont="1" applyFill="1" applyBorder="1" applyAlignment="1">
      <alignment horizontal="left" vertical="center" wrapText="1"/>
    </xf>
    <xf numFmtId="4" fontId="36" fillId="2" borderId="1" xfId="0" applyNumberFormat="1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2" fontId="36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2" fontId="1" fillId="2" borderId="1" xfId="8" applyNumberFormat="1" applyFont="1" applyFill="1" applyBorder="1" applyAlignment="1">
      <alignment horizontal="center" vertical="center" wrapText="1"/>
    </xf>
    <xf numFmtId="0" fontId="1" fillId="2" borderId="11" xfId="8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7" fillId="0" borderId="0" xfId="0" applyFont="1"/>
    <xf numFmtId="0" fontId="8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3" fontId="7" fillId="2" borderId="11" xfId="0" applyNumberFormat="1" applyFont="1" applyFill="1" applyBorder="1" applyAlignment="1">
      <alignment horizontal="center" vertical="center" wrapText="1"/>
    </xf>
    <xf numFmtId="3" fontId="7" fillId="2" borderId="10" xfId="0" applyNumberFormat="1" applyFont="1" applyFill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3" fontId="7" fillId="0" borderId="10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9" fontId="12" fillId="0" borderId="1" xfId="0" applyNumberFormat="1" applyFont="1" applyBorder="1" applyAlignment="1">
      <alignment horizontal="center" vertical="center"/>
    </xf>
    <xf numFmtId="9" fontId="12" fillId="0" borderId="4" xfId="0" applyNumberFormat="1" applyFont="1" applyBorder="1" applyAlignment="1">
      <alignment horizontal="center" vertical="center" wrapText="1"/>
    </xf>
    <xf numFmtId="9" fontId="12" fillId="0" borderId="5" xfId="0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3" fontId="12" fillId="0" borderId="11" xfId="0" applyNumberFormat="1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3" fontId="8" fillId="0" borderId="11" xfId="0" applyNumberFormat="1" applyFont="1" applyBorder="1" applyAlignment="1">
      <alignment horizontal="center" vertical="center" wrapText="1"/>
    </xf>
    <xf numFmtId="3" fontId="8" fillId="0" borderId="10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textRotation="90" wrapText="1"/>
    </xf>
    <xf numFmtId="0" fontId="8" fillId="2" borderId="13" xfId="0" applyFont="1" applyFill="1" applyBorder="1" applyAlignment="1">
      <alignment horizontal="center" vertical="center" textRotation="90" wrapText="1"/>
    </xf>
    <xf numFmtId="0" fontId="8" fillId="2" borderId="10" xfId="0" applyFont="1" applyFill="1" applyBorder="1" applyAlignment="1">
      <alignment horizontal="center" vertical="center" textRotation="90" wrapText="1"/>
    </xf>
    <xf numFmtId="3" fontId="8" fillId="2" borderId="11" xfId="0" applyNumberFormat="1" applyFont="1" applyFill="1" applyBorder="1" applyAlignment="1">
      <alignment horizontal="center" vertical="center" textRotation="90" wrapText="1"/>
    </xf>
    <xf numFmtId="3" fontId="8" fillId="2" borderId="13" xfId="0" applyNumberFormat="1" applyFont="1" applyFill="1" applyBorder="1" applyAlignment="1">
      <alignment horizontal="center" vertical="center" textRotation="90" wrapText="1"/>
    </xf>
    <xf numFmtId="3" fontId="8" fillId="2" borderId="10" xfId="0" applyNumberFormat="1" applyFont="1" applyFill="1" applyBorder="1" applyAlignment="1">
      <alignment horizontal="center" vertical="center" textRotation="90" wrapText="1"/>
    </xf>
    <xf numFmtId="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textRotation="90" wrapText="1"/>
    </xf>
    <xf numFmtId="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164" fontId="8" fillId="2" borderId="6" xfId="10" applyFont="1" applyFill="1" applyBorder="1" applyAlignment="1">
      <alignment horizontal="center" vertical="center" wrapText="1"/>
    </xf>
    <xf numFmtId="164" fontId="8" fillId="2" borderId="7" xfId="10" applyFont="1" applyFill="1" applyBorder="1" applyAlignment="1">
      <alignment horizontal="center" vertical="center" wrapText="1"/>
    </xf>
    <xf numFmtId="164" fontId="8" fillId="2" borderId="12" xfId="10" applyFont="1" applyFill="1" applyBorder="1" applyAlignment="1">
      <alignment horizontal="center" vertical="center" wrapText="1"/>
    </xf>
    <xf numFmtId="164" fontId="8" fillId="2" borderId="8" xfId="10" applyFont="1" applyFill="1" applyBorder="1" applyAlignment="1">
      <alignment horizontal="center" vertical="center" wrapText="1"/>
    </xf>
    <xf numFmtId="164" fontId="8" fillId="2" borderId="3" xfId="10" applyFont="1" applyFill="1" applyBorder="1" applyAlignment="1">
      <alignment horizontal="center" vertical="center" wrapText="1"/>
    </xf>
    <xf numFmtId="164" fontId="8" fillId="2" borderId="9" xfId="1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9" fontId="8" fillId="2" borderId="1" xfId="0" applyNumberFormat="1" applyFont="1" applyFill="1" applyBorder="1" applyAlignment="1">
      <alignment horizontal="center" vertical="center" textRotation="90" wrapText="1"/>
    </xf>
    <xf numFmtId="0" fontId="8" fillId="2" borderId="1" xfId="0" applyFont="1" applyFill="1" applyBorder="1" applyAlignment="1">
      <alignment horizontal="center" vertical="center" textRotation="90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left" vertical="center"/>
    </xf>
    <xf numFmtId="0" fontId="6" fillId="2" borderId="0" xfId="1" applyFont="1" applyFill="1" applyAlignment="1">
      <alignment vertical="center"/>
    </xf>
    <xf numFmtId="0" fontId="6" fillId="2" borderId="0" xfId="1" applyFont="1" applyFill="1" applyAlignment="1">
      <alignment horizontal="center" vertical="center"/>
    </xf>
    <xf numFmtId="1" fontId="6" fillId="2" borderId="0" xfId="1" applyNumberFormat="1" applyFont="1" applyFill="1" applyAlignment="1">
      <alignment horizontal="center" vertical="center" wrapText="1"/>
    </xf>
    <xf numFmtId="3" fontId="6" fillId="2" borderId="0" xfId="1" applyNumberFormat="1" applyFont="1" applyFill="1" applyAlignment="1">
      <alignment horizontal="center" vertical="center"/>
    </xf>
    <xf numFmtId="165" fontId="6" fillId="2" borderId="0" xfId="1" applyNumberFormat="1" applyFont="1" applyFill="1" applyAlignment="1">
      <alignment horizontal="center" vertical="center"/>
    </xf>
    <xf numFmtId="0" fontId="5" fillId="2" borderId="0" xfId="0" applyFont="1" applyFill="1"/>
    <xf numFmtId="0" fontId="5" fillId="0" borderId="0" xfId="0" applyFont="1"/>
    <xf numFmtId="0" fontId="5" fillId="2" borderId="0" xfId="0" applyFont="1" applyFill="1" applyAlignment="1">
      <alignment horizontal="left"/>
    </xf>
    <xf numFmtId="3" fontId="5" fillId="2" borderId="0" xfId="0" applyNumberFormat="1" applyFont="1" applyFill="1"/>
    <xf numFmtId="1" fontId="6" fillId="2" borderId="0" xfId="1" applyNumberFormat="1" applyFont="1" applyFill="1" applyAlignment="1">
      <alignment vertical="center"/>
    </xf>
    <xf numFmtId="0" fontId="26" fillId="2" borderId="0" xfId="0" applyFont="1" applyFill="1"/>
    <xf numFmtId="0" fontId="6" fillId="2" borderId="0" xfId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/>
    </xf>
    <xf numFmtId="3" fontId="5" fillId="2" borderId="3" xfId="0" applyNumberFormat="1" applyFont="1" applyFill="1" applyBorder="1" applyAlignment="1">
      <alignment horizontal="center" vertical="center"/>
    </xf>
    <xf numFmtId="9" fontId="5" fillId="2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64" fontId="6" fillId="2" borderId="6" xfId="10" applyFont="1" applyFill="1" applyBorder="1" applyAlignment="1">
      <alignment horizontal="center" vertical="center" wrapText="1"/>
    </xf>
    <xf numFmtId="164" fontId="6" fillId="2" borderId="7" xfId="10" applyFont="1" applyFill="1" applyBorder="1" applyAlignment="1">
      <alignment horizontal="center" vertical="center" wrapText="1"/>
    </xf>
    <xf numFmtId="164" fontId="6" fillId="2" borderId="12" xfId="1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textRotation="90" wrapText="1"/>
    </xf>
    <xf numFmtId="3" fontId="6" fillId="2" borderId="11" xfId="0" applyNumberFormat="1" applyFont="1" applyFill="1" applyBorder="1" applyAlignment="1">
      <alignment horizontal="center" vertical="center" textRotation="90" wrapText="1"/>
    </xf>
    <xf numFmtId="9" fontId="6" fillId="2" borderId="1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textRotation="90" wrapText="1"/>
    </xf>
    <xf numFmtId="9" fontId="6" fillId="2" borderId="1" xfId="0" applyNumberFormat="1" applyFont="1" applyFill="1" applyBorder="1" applyAlignment="1">
      <alignment horizontal="center" vertical="center" textRotation="90" wrapText="1"/>
    </xf>
    <xf numFmtId="0" fontId="6" fillId="2" borderId="6" xfId="0" applyFont="1" applyFill="1" applyBorder="1" applyAlignment="1">
      <alignment horizontal="center" vertical="center" wrapText="1"/>
    </xf>
    <xf numFmtId="9" fontId="6" fillId="2" borderId="1" xfId="0" applyNumberFormat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164" fontId="6" fillId="2" borderId="8" xfId="10" applyFont="1" applyFill="1" applyBorder="1" applyAlignment="1">
      <alignment horizontal="center" vertical="center" wrapText="1"/>
    </xf>
    <xf numFmtId="164" fontId="6" fillId="2" borderId="3" xfId="10" applyFont="1" applyFill="1" applyBorder="1" applyAlignment="1">
      <alignment horizontal="center" vertical="center" wrapText="1"/>
    </xf>
    <xf numFmtId="164" fontId="6" fillId="2" borderId="9" xfId="1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textRotation="90" wrapText="1"/>
    </xf>
    <xf numFmtId="3" fontId="6" fillId="2" borderId="13" xfId="0" applyNumberFormat="1" applyFont="1" applyFill="1" applyBorder="1" applyAlignment="1">
      <alignment horizontal="center" vertical="center" textRotation="90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textRotation="90" wrapText="1"/>
    </xf>
    <xf numFmtId="3" fontId="6" fillId="2" borderId="10" xfId="0" applyNumberFormat="1" applyFont="1" applyFill="1" applyBorder="1" applyAlignment="1">
      <alignment horizontal="center" vertical="center" textRotation="90" wrapText="1"/>
    </xf>
    <xf numFmtId="9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 wrapText="1"/>
    </xf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165" fontId="6" fillId="2" borderId="1" xfId="1" applyNumberFormat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1" fontId="6" fillId="2" borderId="0" xfId="0" applyNumberFormat="1" applyFont="1" applyFill="1" applyAlignment="1">
      <alignment horizontal="center" vertical="center"/>
    </xf>
    <xf numFmtId="0" fontId="6" fillId="2" borderId="0" xfId="0" applyFont="1" applyFill="1"/>
    <xf numFmtId="0" fontId="38" fillId="2" borderId="10" xfId="9" applyFont="1" applyFill="1" applyBorder="1" applyAlignment="1" applyProtection="1">
      <alignment horizontal="left" vertical="center" wrapText="1" shrinkToFit="1"/>
      <protection hidden="1"/>
    </xf>
    <xf numFmtId="0" fontId="5" fillId="2" borderId="1" xfId="0" applyFont="1" applyFill="1" applyBorder="1" applyAlignment="1">
      <alignment vertical="center" wrapText="1"/>
    </xf>
    <xf numFmtId="0" fontId="38" fillId="2" borderId="10" xfId="9" applyFont="1" applyFill="1" applyBorder="1" applyAlignment="1" applyProtection="1">
      <alignment vertical="center" wrapText="1" shrinkToFit="1"/>
      <protection hidden="1"/>
    </xf>
    <xf numFmtId="0" fontId="38" fillId="2" borderId="10" xfId="9" applyFont="1" applyFill="1" applyBorder="1" applyAlignment="1" applyProtection="1">
      <alignment horizontal="center" vertical="center" wrapText="1" shrinkToFit="1"/>
      <protection hidden="1"/>
    </xf>
    <xf numFmtId="2" fontId="38" fillId="2" borderId="10" xfId="9" applyNumberFormat="1" applyFont="1" applyFill="1" applyBorder="1" applyAlignment="1" applyProtection="1">
      <alignment horizontal="center" vertical="center" wrapText="1" shrinkToFit="1"/>
      <protection hidden="1"/>
    </xf>
    <xf numFmtId="1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6" fillId="2" borderId="10" xfId="9" applyNumberFormat="1" applyFont="1" applyFill="1" applyBorder="1" applyAlignment="1" applyProtection="1">
      <alignment horizontal="center" vertical="center" wrapText="1" shrinkToFit="1"/>
      <protection hidden="1"/>
    </xf>
    <xf numFmtId="1" fontId="5" fillId="2" borderId="0" xfId="0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8" fillId="2" borderId="0" xfId="0" applyFont="1" applyFill="1"/>
    <xf numFmtId="0" fontId="38" fillId="2" borderId="0" xfId="0" applyFont="1" applyFill="1" applyAlignment="1">
      <alignment wrapText="1"/>
    </xf>
    <xf numFmtId="0" fontId="39" fillId="2" borderId="0" xfId="0" applyFont="1" applyFill="1"/>
    <xf numFmtId="3" fontId="38" fillId="2" borderId="0" xfId="0" applyNumberFormat="1" applyFont="1" applyFill="1"/>
    <xf numFmtId="0" fontId="38" fillId="2" borderId="0" xfId="0" applyFont="1" applyFill="1" applyAlignment="1">
      <alignment horizontal="center" vertical="center"/>
    </xf>
    <xf numFmtId="9" fontId="38" fillId="2" borderId="0" xfId="0" applyNumberFormat="1" applyFont="1" applyFill="1"/>
    <xf numFmtId="0" fontId="38" fillId="0" borderId="0" xfId="0" applyFont="1"/>
    <xf numFmtId="3" fontId="38" fillId="0" borderId="0" xfId="0" applyNumberFormat="1" applyFont="1"/>
    <xf numFmtId="9" fontId="38" fillId="0" borderId="0" xfId="0" applyNumberFormat="1" applyFont="1"/>
    <xf numFmtId="0" fontId="6" fillId="2" borderId="0" xfId="0" applyFont="1" applyFill="1" applyAlignment="1">
      <alignment horizontal="center" vertical="top"/>
    </xf>
    <xf numFmtId="3" fontId="6" fillId="0" borderId="0" xfId="0" applyNumberFormat="1" applyFont="1" applyAlignment="1">
      <alignment vertical="center"/>
    </xf>
    <xf numFmtId="9" fontId="6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49" fontId="6" fillId="2" borderId="0" xfId="0" applyNumberFormat="1" applyFont="1" applyFill="1"/>
    <xf numFmtId="3" fontId="5" fillId="0" borderId="0" xfId="0" applyNumberFormat="1" applyFont="1"/>
    <xf numFmtId="9" fontId="5" fillId="0" borderId="0" xfId="0" applyNumberFormat="1" applyFont="1"/>
    <xf numFmtId="9" fontId="5" fillId="2" borderId="0" xfId="0" applyNumberFormat="1" applyFont="1" applyFill="1"/>
  </cellXfs>
  <cellStyles count="11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3" xfId="3" xr:uid="{00000000-0005-0000-0000-000003000000}"/>
    <cellStyle name="Обычный 3" xfId="4" xr:uid="{00000000-0005-0000-0000-000004000000}"/>
    <cellStyle name="Обычный 3 4 4" xfId="5" xr:uid="{00000000-0005-0000-0000-000005000000}"/>
    <cellStyle name="Обычный 3 8" xfId="6" xr:uid="{00000000-0005-0000-0000-000006000000}"/>
    <cellStyle name="Обычный 4" xfId="7" xr:uid="{00000000-0005-0000-0000-000007000000}"/>
    <cellStyle name="Обычный_админ 1" xfId="8" xr:uid="{00000000-0005-0000-0000-000008000000}"/>
    <cellStyle name="Обычный_Лист1" xfId="9" xr:uid="{00000000-0005-0000-0000-000009000000}"/>
    <cellStyle name="Финансовый" xfId="10" builtinId="3"/>
  </cellStyles>
  <dxfs count="0"/>
  <tableStyles count="0" defaultTableStyle="TableStyleMedium2" defaultPivotStyle="PivotStyleLight16"/>
  <colors>
    <mruColors>
      <color rgb="FF9226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16%20&#1058;&#1072;&#1089;&#1086;&#1074;&#1072;%20&#1044;&#1072;&#1088;&#1099;&#1085;.xls%20&#1085;&#1072;%20&#1103;&#1085;&#1074;&#1072;&#1088;&#1100;%202022&#1075;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вод штат"/>
      <sheetName val="ШТАТ АУП 2022"/>
      <sheetName val="тариф мугалим"/>
      <sheetName val="анык"/>
    </sheetNames>
    <sheetDataSet>
      <sheetData sheetId="0"/>
      <sheetData sheetId="1"/>
      <sheetData sheetId="2">
        <row r="89">
          <cell r="AJ89">
            <v>344228.77125000005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36"/>
  <sheetViews>
    <sheetView topLeftCell="A112" workbookViewId="0">
      <selection activeCell="C132" sqref="C132"/>
    </sheetView>
  </sheetViews>
  <sheetFormatPr defaultColWidth="6.140625" defaultRowHeight="12.75" x14ac:dyDescent="0.2"/>
  <cols>
    <col min="1" max="1" width="6.140625" style="101" customWidth="1"/>
    <col min="2" max="2" width="18.5703125" style="101" customWidth="1"/>
    <col min="3" max="3" width="6.140625" style="101" customWidth="1"/>
    <col min="4" max="4" width="7.5703125" style="101" customWidth="1"/>
    <col min="5" max="5" width="6.140625" style="112" customWidth="1"/>
    <col min="6" max="6" width="7.140625" style="102" customWidth="1"/>
    <col min="7" max="7" width="6.140625" style="101" customWidth="1"/>
    <col min="8" max="8" width="11.42578125" style="102" customWidth="1"/>
    <col min="9" max="9" width="8.85546875" style="102" hidden="1" customWidth="1"/>
    <col min="10" max="10" width="10.5703125" style="102" customWidth="1"/>
    <col min="11" max="11" width="10.28515625" style="102" customWidth="1"/>
    <col min="12" max="12" width="6.140625" style="102" hidden="1" customWidth="1"/>
    <col min="13" max="13" width="9" style="102" customWidth="1"/>
    <col min="14" max="14" width="6.140625" style="102" customWidth="1"/>
    <col min="15" max="15" width="7.85546875" style="102" customWidth="1"/>
    <col min="16" max="16" width="8.140625" style="102" customWidth="1"/>
    <col min="17" max="17" width="9.5703125" style="102" customWidth="1"/>
    <col min="18" max="18" width="7.28515625" style="102" customWidth="1"/>
    <col min="19" max="19" width="9.140625" style="102" customWidth="1"/>
    <col min="20" max="20" width="10.140625" style="102" customWidth="1"/>
    <col min="21" max="21" width="9.28515625" style="102" customWidth="1"/>
    <col min="22" max="22" width="8.85546875" style="102" customWidth="1"/>
    <col min="23" max="23" width="12.140625" style="102" customWidth="1"/>
    <col min="24" max="24" width="10.140625" style="102" customWidth="1"/>
    <col min="25" max="25" width="6.140625" style="101"/>
    <col min="26" max="26" width="7.28515625" style="101" bestFit="1" customWidth="1"/>
    <col min="27" max="16384" width="6.140625" style="101"/>
  </cols>
  <sheetData>
    <row r="1" spans="1:24" ht="14.25" customHeight="1" x14ac:dyDescent="0.25">
      <c r="B1" s="208" t="s">
        <v>455</v>
      </c>
      <c r="C1" s="100"/>
      <c r="D1" s="102"/>
      <c r="F1" s="101"/>
      <c r="S1" s="79" t="s">
        <v>9</v>
      </c>
    </row>
    <row r="2" spans="1:24" ht="14.25" customHeight="1" x14ac:dyDescent="0.25">
      <c r="B2" s="208" t="s">
        <v>38</v>
      </c>
      <c r="C2" s="100"/>
      <c r="D2" s="102"/>
      <c r="F2" s="101"/>
      <c r="S2" s="80" t="s">
        <v>38</v>
      </c>
    </row>
    <row r="3" spans="1:24" ht="14.25" customHeight="1" x14ac:dyDescent="0.25">
      <c r="B3" s="208" t="s">
        <v>456</v>
      </c>
      <c r="C3" s="100"/>
      <c r="D3" s="102"/>
      <c r="F3" s="101"/>
      <c r="S3" s="79" t="s">
        <v>331</v>
      </c>
    </row>
    <row r="4" spans="1:24" ht="14.25" customHeight="1" x14ac:dyDescent="0.25">
      <c r="B4" s="208" t="s">
        <v>457</v>
      </c>
      <c r="C4" s="100"/>
      <c r="D4" s="102"/>
      <c r="F4" s="101"/>
      <c r="S4" s="79" t="s">
        <v>332</v>
      </c>
    </row>
    <row r="5" spans="1:24" ht="14.25" customHeight="1" x14ac:dyDescent="0.25">
      <c r="B5" s="208"/>
      <c r="C5" s="100"/>
      <c r="D5" s="102"/>
      <c r="F5" s="101"/>
      <c r="S5" s="79" t="s">
        <v>333</v>
      </c>
    </row>
    <row r="6" spans="1:24" ht="14.25" customHeight="1" x14ac:dyDescent="0.25">
      <c r="B6" s="208" t="s">
        <v>458</v>
      </c>
      <c r="C6" s="100"/>
      <c r="D6" s="102"/>
      <c r="F6" s="101"/>
      <c r="S6" s="79" t="s">
        <v>334</v>
      </c>
    </row>
    <row r="7" spans="1:24" ht="14.25" customHeight="1" x14ac:dyDescent="0.25">
      <c r="B7" s="208" t="s">
        <v>459</v>
      </c>
      <c r="C7" s="100"/>
      <c r="D7" s="102"/>
      <c r="F7" s="101"/>
      <c r="S7" s="81" t="s">
        <v>335</v>
      </c>
    </row>
    <row r="8" spans="1:24" ht="13.5" customHeight="1" x14ac:dyDescent="0.2">
      <c r="B8" s="148"/>
      <c r="C8" s="100"/>
      <c r="D8" s="102"/>
      <c r="F8" s="101"/>
      <c r="S8" s="81"/>
    </row>
    <row r="9" spans="1:24" ht="39.6" customHeight="1" x14ac:dyDescent="0.2">
      <c r="A9" s="323" t="s">
        <v>460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</row>
    <row r="10" spans="1:24" s="152" customFormat="1" ht="20.25" customHeight="1" x14ac:dyDescent="0.2">
      <c r="A10" s="324" t="s">
        <v>22</v>
      </c>
      <c r="B10" s="324" t="s">
        <v>0</v>
      </c>
      <c r="C10" s="324" t="s">
        <v>2</v>
      </c>
      <c r="D10" s="324" t="s">
        <v>35</v>
      </c>
      <c r="E10" s="326" t="s">
        <v>3</v>
      </c>
      <c r="F10" s="328" t="s">
        <v>53</v>
      </c>
      <c r="G10" s="324" t="s">
        <v>51</v>
      </c>
      <c r="H10" s="330" t="s">
        <v>4</v>
      </c>
      <c r="I10" s="330" t="s">
        <v>52</v>
      </c>
      <c r="J10" s="330" t="s">
        <v>42</v>
      </c>
      <c r="K10" s="332" t="s">
        <v>44</v>
      </c>
      <c r="L10" s="333"/>
      <c r="M10" s="333"/>
      <c r="N10" s="333"/>
      <c r="O10" s="333"/>
      <c r="P10" s="333"/>
      <c r="Q10" s="333"/>
      <c r="R10" s="334" t="s">
        <v>44</v>
      </c>
      <c r="S10" s="334"/>
      <c r="T10" s="334"/>
      <c r="U10" s="334"/>
      <c r="V10" s="334"/>
      <c r="W10" s="330" t="s">
        <v>66</v>
      </c>
      <c r="X10" s="330" t="s">
        <v>67</v>
      </c>
    </row>
    <row r="11" spans="1:24" s="152" customFormat="1" ht="96" customHeight="1" x14ac:dyDescent="0.2">
      <c r="A11" s="325"/>
      <c r="B11" s="325"/>
      <c r="C11" s="325"/>
      <c r="D11" s="325"/>
      <c r="E11" s="327"/>
      <c r="F11" s="329"/>
      <c r="G11" s="325"/>
      <c r="H11" s="331"/>
      <c r="I11" s="331"/>
      <c r="J11" s="331"/>
      <c r="K11" s="39">
        <v>0.1</v>
      </c>
      <c r="L11" s="39" t="s">
        <v>73</v>
      </c>
      <c r="M11" s="55" t="s">
        <v>48</v>
      </c>
      <c r="N11" s="55" t="s">
        <v>356</v>
      </c>
      <c r="O11" s="55" t="s">
        <v>55</v>
      </c>
      <c r="P11" s="55" t="s">
        <v>54</v>
      </c>
      <c r="Q11" s="55" t="s">
        <v>44</v>
      </c>
      <c r="R11" s="137" t="s">
        <v>45</v>
      </c>
      <c r="S11" s="137" t="s">
        <v>46</v>
      </c>
      <c r="T11" s="137" t="s">
        <v>49</v>
      </c>
      <c r="U11" s="137" t="s">
        <v>47</v>
      </c>
      <c r="V11" s="137" t="s">
        <v>68</v>
      </c>
      <c r="W11" s="331"/>
      <c r="X11" s="331"/>
    </row>
    <row r="12" spans="1:24" s="147" customFormat="1" x14ac:dyDescent="0.2">
      <c r="A12" s="77">
        <v>1</v>
      </c>
      <c r="B12" s="142" t="s">
        <v>5</v>
      </c>
      <c r="C12" s="77">
        <v>1</v>
      </c>
      <c r="D12" s="77" t="s">
        <v>318</v>
      </c>
      <c r="E12" s="113">
        <v>6.58</v>
      </c>
      <c r="F12" s="104">
        <v>17697</v>
      </c>
      <c r="G12" s="76">
        <v>1.75</v>
      </c>
      <c r="H12" s="104">
        <f t="shared" ref="H12:H75" si="0">(E12*17697*C12)*G12</f>
        <v>203780.95499999999</v>
      </c>
      <c r="I12" s="104">
        <v>0</v>
      </c>
      <c r="J12" s="104">
        <f>H12+I12</f>
        <v>203780.95499999999</v>
      </c>
      <c r="K12" s="104">
        <f>J12*10%</f>
        <v>20378.095499999999</v>
      </c>
      <c r="L12" s="104"/>
      <c r="M12" s="153"/>
      <c r="N12" s="153"/>
      <c r="O12" s="105"/>
      <c r="P12" s="153"/>
      <c r="Q12" s="105"/>
      <c r="R12" s="105"/>
      <c r="S12" s="105"/>
      <c r="T12" s="105"/>
      <c r="U12" s="105"/>
      <c r="V12" s="105"/>
      <c r="W12" s="105">
        <f>SUM(J12:V12)</f>
        <v>224159.05049999998</v>
      </c>
      <c r="X12" s="105">
        <f>W12*12/1000</f>
        <v>2689.9086059999995</v>
      </c>
    </row>
    <row r="13" spans="1:24" s="147" customFormat="1" ht="51" x14ac:dyDescent="0.2">
      <c r="A13" s="77">
        <v>2</v>
      </c>
      <c r="B13" s="142" t="s">
        <v>182</v>
      </c>
      <c r="C13" s="77">
        <v>1</v>
      </c>
      <c r="D13" s="77" t="s">
        <v>319</v>
      </c>
      <c r="E13" s="113">
        <v>6.6</v>
      </c>
      <c r="F13" s="104">
        <v>17697</v>
      </c>
      <c r="G13" s="76">
        <v>1.75</v>
      </c>
      <c r="H13" s="104">
        <f t="shared" si="0"/>
        <v>204400.35</v>
      </c>
      <c r="I13" s="104">
        <v>0</v>
      </c>
      <c r="J13" s="104">
        <f t="shared" ref="J13:J76" si="1">H13+I13</f>
        <v>204400.35</v>
      </c>
      <c r="K13" s="104">
        <f t="shared" ref="K13:K76" si="2">J13*10%</f>
        <v>20440.035000000003</v>
      </c>
      <c r="L13" s="104"/>
      <c r="M13" s="153"/>
      <c r="N13" s="153"/>
      <c r="O13" s="105"/>
      <c r="P13" s="153"/>
      <c r="Q13" s="105"/>
      <c r="R13" s="105"/>
      <c r="S13" s="105"/>
      <c r="T13" s="105"/>
      <c r="U13" s="105"/>
      <c r="V13" s="105">
        <f>J13</f>
        <v>204400.35</v>
      </c>
      <c r="W13" s="105">
        <f t="shared" ref="W13:W76" si="3">SUM(J13:V13)</f>
        <v>429240.73499999999</v>
      </c>
      <c r="X13" s="105">
        <f t="shared" ref="X13:X76" si="4">W13*12/1000</f>
        <v>5150.8888200000001</v>
      </c>
    </row>
    <row r="14" spans="1:24" s="147" customFormat="1" ht="25.5" x14ac:dyDescent="0.2">
      <c r="A14" s="77">
        <v>3</v>
      </c>
      <c r="B14" s="142" t="s">
        <v>183</v>
      </c>
      <c r="C14" s="77">
        <v>1</v>
      </c>
      <c r="D14" s="77" t="s">
        <v>319</v>
      </c>
      <c r="E14" s="113">
        <v>6.25</v>
      </c>
      <c r="F14" s="104">
        <v>17697</v>
      </c>
      <c r="G14" s="76">
        <v>1.75</v>
      </c>
      <c r="H14" s="104">
        <f t="shared" si="0"/>
        <v>193560.9375</v>
      </c>
      <c r="I14" s="104">
        <v>0</v>
      </c>
      <c r="J14" s="104">
        <f t="shared" si="1"/>
        <v>193560.9375</v>
      </c>
      <c r="K14" s="104">
        <f t="shared" si="2"/>
        <v>19356.09375</v>
      </c>
      <c r="L14" s="104"/>
      <c r="M14" s="153"/>
      <c r="N14" s="153"/>
      <c r="O14" s="105"/>
      <c r="P14" s="153"/>
      <c r="Q14" s="105"/>
      <c r="R14" s="105"/>
      <c r="S14" s="105"/>
      <c r="T14" s="105"/>
      <c r="U14" s="105"/>
      <c r="V14" s="105">
        <f>J14</f>
        <v>193560.9375</v>
      </c>
      <c r="W14" s="105">
        <f t="shared" si="3"/>
        <v>406477.96875</v>
      </c>
      <c r="X14" s="105">
        <f t="shared" si="4"/>
        <v>4877.7356250000003</v>
      </c>
    </row>
    <row r="15" spans="1:24" s="147" customFormat="1" ht="38.25" x14ac:dyDescent="0.2">
      <c r="A15" s="77">
        <v>4</v>
      </c>
      <c r="B15" s="64" t="s">
        <v>184</v>
      </c>
      <c r="C15" s="77">
        <v>1</v>
      </c>
      <c r="D15" s="140" t="s">
        <v>319</v>
      </c>
      <c r="E15" s="114">
        <v>6.08</v>
      </c>
      <c r="F15" s="104">
        <v>17697</v>
      </c>
      <c r="G15" s="76">
        <v>1.75</v>
      </c>
      <c r="H15" s="104">
        <f t="shared" si="0"/>
        <v>188296.08</v>
      </c>
      <c r="I15" s="104">
        <v>0</v>
      </c>
      <c r="J15" s="104">
        <f t="shared" si="1"/>
        <v>188296.08</v>
      </c>
      <c r="K15" s="104">
        <f t="shared" si="2"/>
        <v>18829.608</v>
      </c>
      <c r="L15" s="104"/>
      <c r="M15" s="153"/>
      <c r="N15" s="153"/>
      <c r="O15" s="105"/>
      <c r="P15" s="153"/>
      <c r="Q15" s="105"/>
      <c r="R15" s="105"/>
      <c r="S15" s="105"/>
      <c r="T15" s="105"/>
      <c r="U15" s="105"/>
      <c r="V15" s="105"/>
      <c r="W15" s="105">
        <f t="shared" si="3"/>
        <v>207125.68799999999</v>
      </c>
      <c r="X15" s="105">
        <f t="shared" si="4"/>
        <v>2485.5082560000001</v>
      </c>
    </row>
    <row r="16" spans="1:24" s="147" customFormat="1" ht="25.5" x14ac:dyDescent="0.2">
      <c r="A16" s="77">
        <v>5</v>
      </c>
      <c r="B16" s="142" t="s">
        <v>186</v>
      </c>
      <c r="C16" s="77">
        <v>1</v>
      </c>
      <c r="D16" s="77" t="s">
        <v>319</v>
      </c>
      <c r="E16" s="113">
        <v>6.6</v>
      </c>
      <c r="F16" s="104">
        <v>17697</v>
      </c>
      <c r="G16" s="76">
        <v>1.75</v>
      </c>
      <c r="H16" s="104">
        <f t="shared" si="0"/>
        <v>204400.35</v>
      </c>
      <c r="I16" s="104">
        <v>0</v>
      </c>
      <c r="J16" s="104">
        <f t="shared" si="1"/>
        <v>204400.35</v>
      </c>
      <c r="K16" s="104">
        <f t="shared" si="2"/>
        <v>20440.035000000003</v>
      </c>
      <c r="L16" s="104"/>
      <c r="M16" s="153"/>
      <c r="N16" s="153"/>
      <c r="O16" s="105"/>
      <c r="P16" s="153"/>
      <c r="Q16" s="105"/>
      <c r="R16" s="105"/>
      <c r="S16" s="105"/>
      <c r="T16" s="105"/>
      <c r="U16" s="105"/>
      <c r="V16" s="105">
        <f>J16</f>
        <v>204400.35</v>
      </c>
      <c r="W16" s="105">
        <f t="shared" si="3"/>
        <v>429240.73499999999</v>
      </c>
      <c r="X16" s="105">
        <f t="shared" si="4"/>
        <v>5150.8888200000001</v>
      </c>
    </row>
    <row r="17" spans="1:24" s="147" customFormat="1" ht="25.5" x14ac:dyDescent="0.2">
      <c r="A17" s="77">
        <v>6</v>
      </c>
      <c r="B17" s="142" t="s">
        <v>183</v>
      </c>
      <c r="C17" s="77">
        <v>0.5</v>
      </c>
      <c r="D17" s="77" t="s">
        <v>319</v>
      </c>
      <c r="E17" s="113">
        <v>6.25</v>
      </c>
      <c r="F17" s="104">
        <v>17697</v>
      </c>
      <c r="G17" s="76">
        <v>1.75</v>
      </c>
      <c r="H17" s="104">
        <f t="shared" si="0"/>
        <v>96780.46875</v>
      </c>
      <c r="I17" s="104">
        <v>0</v>
      </c>
      <c r="J17" s="104">
        <f t="shared" si="1"/>
        <v>96780.46875</v>
      </c>
      <c r="K17" s="104">
        <f t="shared" si="2"/>
        <v>9678.046875</v>
      </c>
      <c r="L17" s="104"/>
      <c r="M17" s="153"/>
      <c r="N17" s="153"/>
      <c r="O17" s="105"/>
      <c r="P17" s="153"/>
      <c r="Q17" s="105"/>
      <c r="R17" s="105"/>
      <c r="S17" s="105"/>
      <c r="T17" s="105"/>
      <c r="U17" s="105"/>
      <c r="V17" s="105">
        <f>J17/2</f>
        <v>48390.234375</v>
      </c>
      <c r="W17" s="105">
        <f t="shared" si="3"/>
        <v>154848.75</v>
      </c>
      <c r="X17" s="105">
        <f t="shared" si="4"/>
        <v>1858.1849999999999</v>
      </c>
    </row>
    <row r="18" spans="1:24" s="147" customFormat="1" ht="38.25" x14ac:dyDescent="0.2">
      <c r="A18" s="77">
        <v>7</v>
      </c>
      <c r="B18" s="142" t="s">
        <v>189</v>
      </c>
      <c r="C18" s="77">
        <v>1</v>
      </c>
      <c r="D18" s="77" t="s">
        <v>320</v>
      </c>
      <c r="E18" s="113">
        <v>5.51</v>
      </c>
      <c r="F18" s="104">
        <v>17697</v>
      </c>
      <c r="G18" s="76">
        <v>1.23</v>
      </c>
      <c r="H18" s="104">
        <f t="shared" si="0"/>
        <v>119937.8781</v>
      </c>
      <c r="I18" s="104">
        <v>0</v>
      </c>
      <c r="J18" s="104">
        <f t="shared" si="1"/>
        <v>119937.8781</v>
      </c>
      <c r="K18" s="104">
        <f t="shared" si="2"/>
        <v>11993.787810000002</v>
      </c>
      <c r="L18" s="104"/>
      <c r="M18" s="153"/>
      <c r="N18" s="153"/>
      <c r="O18" s="105"/>
      <c r="P18" s="153"/>
      <c r="Q18" s="105"/>
      <c r="R18" s="105"/>
      <c r="S18" s="105"/>
      <c r="T18" s="105"/>
      <c r="U18" s="105"/>
      <c r="V18" s="105"/>
      <c r="W18" s="105">
        <f t="shared" si="3"/>
        <v>131931.66591000001</v>
      </c>
      <c r="X18" s="105">
        <f t="shared" si="4"/>
        <v>1583.1799909200001</v>
      </c>
    </row>
    <row r="19" spans="1:24" s="147" customFormat="1" x14ac:dyDescent="0.2">
      <c r="A19" s="77">
        <v>8</v>
      </c>
      <c r="B19" s="142" t="s">
        <v>6</v>
      </c>
      <c r="C19" s="77">
        <v>1</v>
      </c>
      <c r="D19" s="77" t="s">
        <v>320</v>
      </c>
      <c r="E19" s="113">
        <v>5.98</v>
      </c>
      <c r="F19" s="104">
        <v>17697</v>
      </c>
      <c r="G19" s="76">
        <v>1.23</v>
      </c>
      <c r="H19" s="104">
        <f t="shared" si="0"/>
        <v>130168.51380000002</v>
      </c>
      <c r="I19" s="104">
        <v>0</v>
      </c>
      <c r="J19" s="104">
        <f t="shared" si="1"/>
        <v>130168.51380000002</v>
      </c>
      <c r="K19" s="104">
        <f t="shared" si="2"/>
        <v>13016.851380000002</v>
      </c>
      <c r="L19" s="104"/>
      <c r="M19" s="153"/>
      <c r="N19" s="153"/>
      <c r="O19" s="105"/>
      <c r="P19" s="153"/>
      <c r="Q19" s="105"/>
      <c r="R19" s="105"/>
      <c r="S19" s="105"/>
      <c r="T19" s="105"/>
      <c r="U19" s="105"/>
      <c r="V19" s="105"/>
      <c r="W19" s="105">
        <f t="shared" si="3"/>
        <v>143185.36518000002</v>
      </c>
      <c r="X19" s="105">
        <f t="shared" si="4"/>
        <v>1718.2243821600002</v>
      </c>
    </row>
    <row r="20" spans="1:24" s="147" customFormat="1" x14ac:dyDescent="0.2">
      <c r="A20" s="77">
        <v>9</v>
      </c>
      <c r="B20" s="142" t="s">
        <v>192</v>
      </c>
      <c r="C20" s="77">
        <v>0.5</v>
      </c>
      <c r="D20" s="103" t="s">
        <v>321</v>
      </c>
      <c r="E20" s="157">
        <v>4.6100000000000003</v>
      </c>
      <c r="F20" s="104">
        <v>17697</v>
      </c>
      <c r="G20" s="76">
        <v>1.23</v>
      </c>
      <c r="H20" s="104">
        <f t="shared" si="0"/>
        <v>50173.649550000009</v>
      </c>
      <c r="I20" s="104"/>
      <c r="J20" s="104">
        <f t="shared" si="1"/>
        <v>50173.649550000009</v>
      </c>
      <c r="K20" s="104">
        <f t="shared" si="2"/>
        <v>5017.3649550000009</v>
      </c>
      <c r="L20" s="104"/>
      <c r="M20" s="153"/>
      <c r="N20" s="153"/>
      <c r="O20" s="105"/>
      <c r="P20" s="153"/>
      <c r="Q20" s="105"/>
      <c r="R20" s="105"/>
      <c r="S20" s="105"/>
      <c r="T20" s="105"/>
      <c r="U20" s="105"/>
      <c r="V20" s="105"/>
      <c r="W20" s="105">
        <f t="shared" si="3"/>
        <v>55191.014505000014</v>
      </c>
      <c r="X20" s="105">
        <f t="shared" si="4"/>
        <v>662.29217406000009</v>
      </c>
    </row>
    <row r="21" spans="1:24" s="147" customFormat="1" x14ac:dyDescent="0.2">
      <c r="A21" s="77">
        <v>10</v>
      </c>
      <c r="B21" s="142" t="s">
        <v>192</v>
      </c>
      <c r="C21" s="77">
        <v>1.5</v>
      </c>
      <c r="D21" s="77" t="s">
        <v>321</v>
      </c>
      <c r="E21" s="113">
        <v>4.2699999999999996</v>
      </c>
      <c r="F21" s="104">
        <v>17697</v>
      </c>
      <c r="G21" s="76">
        <v>1.23</v>
      </c>
      <c r="H21" s="104">
        <f t="shared" si="0"/>
        <v>139419.62054999996</v>
      </c>
      <c r="I21" s="104"/>
      <c r="J21" s="104">
        <f t="shared" si="1"/>
        <v>139419.62054999996</v>
      </c>
      <c r="K21" s="104">
        <f t="shared" si="2"/>
        <v>13941.962054999996</v>
      </c>
      <c r="L21" s="104"/>
      <c r="M21" s="153"/>
      <c r="N21" s="153"/>
      <c r="O21" s="105"/>
      <c r="P21" s="153"/>
      <c r="Q21" s="105"/>
      <c r="R21" s="105"/>
      <c r="S21" s="105"/>
      <c r="T21" s="105"/>
      <c r="U21" s="105"/>
      <c r="V21" s="105"/>
      <c r="W21" s="105">
        <f t="shared" si="3"/>
        <v>153361.58260499995</v>
      </c>
      <c r="X21" s="105">
        <f t="shared" si="4"/>
        <v>1840.3389912599994</v>
      </c>
    </row>
    <row r="22" spans="1:24" s="147" customFormat="1" ht="25.5" x14ac:dyDescent="0.2">
      <c r="A22" s="77">
        <v>11</v>
      </c>
      <c r="B22" s="142" t="s">
        <v>194</v>
      </c>
      <c r="C22" s="77">
        <v>1</v>
      </c>
      <c r="D22" s="77" t="s">
        <v>322</v>
      </c>
      <c r="E22" s="113">
        <v>3.68</v>
      </c>
      <c r="F22" s="104">
        <v>17697</v>
      </c>
      <c r="G22" s="76">
        <v>1.23</v>
      </c>
      <c r="H22" s="104">
        <f t="shared" si="0"/>
        <v>80103.700800000006</v>
      </c>
      <c r="I22" s="104"/>
      <c r="J22" s="104">
        <f t="shared" si="1"/>
        <v>80103.700800000006</v>
      </c>
      <c r="K22" s="104">
        <f t="shared" si="2"/>
        <v>8010.3700800000006</v>
      </c>
      <c r="L22" s="104"/>
      <c r="M22" s="153"/>
      <c r="N22" s="153"/>
      <c r="O22" s="105"/>
      <c r="P22" s="153"/>
      <c r="Q22" s="105"/>
      <c r="R22" s="105"/>
      <c r="S22" s="105"/>
      <c r="T22" s="105"/>
      <c r="U22" s="105"/>
      <c r="V22" s="105"/>
      <c r="W22" s="105">
        <f t="shared" si="3"/>
        <v>88114.070880000014</v>
      </c>
      <c r="X22" s="105">
        <f t="shared" si="4"/>
        <v>1057.3688505600001</v>
      </c>
    </row>
    <row r="23" spans="1:24" s="147" customFormat="1" ht="38.25" x14ac:dyDescent="0.2">
      <c r="A23" s="77">
        <v>12</v>
      </c>
      <c r="B23" s="142" t="s">
        <v>195</v>
      </c>
      <c r="C23" s="77">
        <v>1</v>
      </c>
      <c r="D23" s="77" t="s">
        <v>176</v>
      </c>
      <c r="E23" s="113">
        <v>5.32</v>
      </c>
      <c r="F23" s="104">
        <v>17697</v>
      </c>
      <c r="G23" s="76">
        <v>1.75</v>
      </c>
      <c r="H23" s="104">
        <f t="shared" si="0"/>
        <v>164759.07</v>
      </c>
      <c r="I23" s="104"/>
      <c r="J23" s="104">
        <f t="shared" si="1"/>
        <v>164759.07</v>
      </c>
      <c r="K23" s="104">
        <f t="shared" si="2"/>
        <v>16475.907000000003</v>
      </c>
      <c r="L23" s="104"/>
      <c r="M23" s="153"/>
      <c r="N23" s="153"/>
      <c r="O23" s="105"/>
      <c r="P23" s="153"/>
      <c r="Q23" s="105"/>
      <c r="R23" s="105"/>
      <c r="S23" s="105"/>
      <c r="T23" s="105"/>
      <c r="U23" s="105"/>
      <c r="V23" s="105"/>
      <c r="W23" s="105">
        <f t="shared" si="3"/>
        <v>181234.97700000001</v>
      </c>
      <c r="X23" s="105">
        <f t="shared" si="4"/>
        <v>2174.8197240000004</v>
      </c>
    </row>
    <row r="24" spans="1:24" s="147" customFormat="1" x14ac:dyDescent="0.2">
      <c r="A24" s="77">
        <v>13</v>
      </c>
      <c r="B24" s="142" t="s">
        <v>197</v>
      </c>
      <c r="C24" s="77">
        <v>1</v>
      </c>
      <c r="D24" s="77" t="s">
        <v>180</v>
      </c>
      <c r="E24" s="113">
        <v>4.0999999999999996</v>
      </c>
      <c r="F24" s="104">
        <v>17697</v>
      </c>
      <c r="G24" s="76">
        <v>1.75</v>
      </c>
      <c r="H24" s="104">
        <f t="shared" si="0"/>
        <v>126975.97499999999</v>
      </c>
      <c r="I24" s="104"/>
      <c r="J24" s="104">
        <f t="shared" si="1"/>
        <v>126975.97499999999</v>
      </c>
      <c r="K24" s="104">
        <f t="shared" si="2"/>
        <v>12697.5975</v>
      </c>
      <c r="L24" s="104"/>
      <c r="M24" s="153"/>
      <c r="N24" s="153"/>
      <c r="O24" s="105"/>
      <c r="P24" s="153"/>
      <c r="Q24" s="105"/>
      <c r="R24" s="105"/>
      <c r="S24" s="105"/>
      <c r="T24" s="105"/>
      <c r="U24" s="105"/>
      <c r="V24" s="105"/>
      <c r="W24" s="105">
        <f t="shared" si="3"/>
        <v>139673.57249999998</v>
      </c>
      <c r="X24" s="105">
        <f t="shared" si="4"/>
        <v>1676.0828699999997</v>
      </c>
    </row>
    <row r="25" spans="1:24" s="147" customFormat="1" x14ac:dyDescent="0.2">
      <c r="A25" s="77">
        <v>14</v>
      </c>
      <c r="B25" s="143" t="s">
        <v>199</v>
      </c>
      <c r="C25" s="103">
        <v>1</v>
      </c>
      <c r="D25" s="103" t="s">
        <v>323</v>
      </c>
      <c r="E25" s="113">
        <v>4.55</v>
      </c>
      <c r="F25" s="104">
        <v>17697</v>
      </c>
      <c r="G25" s="76">
        <v>1.75</v>
      </c>
      <c r="H25" s="104">
        <f t="shared" si="0"/>
        <v>140912.36249999999</v>
      </c>
      <c r="I25" s="104"/>
      <c r="J25" s="104">
        <f t="shared" si="1"/>
        <v>140912.36249999999</v>
      </c>
      <c r="K25" s="104">
        <f t="shared" si="2"/>
        <v>14091.23625</v>
      </c>
      <c r="L25" s="104"/>
      <c r="M25" s="153"/>
      <c r="N25" s="153"/>
      <c r="O25" s="105"/>
      <c r="P25" s="153"/>
      <c r="Q25" s="105"/>
      <c r="R25" s="105"/>
      <c r="S25" s="105"/>
      <c r="T25" s="105"/>
      <c r="U25" s="105"/>
      <c r="V25" s="105"/>
      <c r="W25" s="105">
        <f t="shared" si="3"/>
        <v>155003.59874999998</v>
      </c>
      <c r="X25" s="105">
        <f t="shared" si="4"/>
        <v>1860.0431849999995</v>
      </c>
    </row>
    <row r="26" spans="1:24" s="147" customFormat="1" ht="25.5" x14ac:dyDescent="0.2">
      <c r="A26" s="77">
        <v>15</v>
      </c>
      <c r="B26" s="142" t="s">
        <v>201</v>
      </c>
      <c r="C26" s="77">
        <v>0.5</v>
      </c>
      <c r="D26" s="77" t="s">
        <v>323</v>
      </c>
      <c r="E26" s="113">
        <v>4.75</v>
      </c>
      <c r="F26" s="104">
        <v>17697</v>
      </c>
      <c r="G26" s="76">
        <v>1.75</v>
      </c>
      <c r="H26" s="104">
        <f t="shared" si="0"/>
        <v>73553.15625</v>
      </c>
      <c r="I26" s="104"/>
      <c r="J26" s="104">
        <f t="shared" si="1"/>
        <v>73553.15625</v>
      </c>
      <c r="K26" s="104">
        <f t="shared" si="2"/>
        <v>7355.3156250000002</v>
      </c>
      <c r="L26" s="104"/>
      <c r="M26" s="153"/>
      <c r="N26" s="153"/>
      <c r="O26" s="105"/>
      <c r="P26" s="153"/>
      <c r="Q26" s="105"/>
      <c r="R26" s="105"/>
      <c r="S26" s="105"/>
      <c r="T26" s="105"/>
      <c r="U26" s="105"/>
      <c r="V26" s="105"/>
      <c r="W26" s="105">
        <f t="shared" si="3"/>
        <v>80908.471875000003</v>
      </c>
      <c r="X26" s="105">
        <f t="shared" si="4"/>
        <v>970.90166250000004</v>
      </c>
    </row>
    <row r="27" spans="1:24" s="147" customFormat="1" x14ac:dyDescent="0.2">
      <c r="A27" s="77">
        <v>16</v>
      </c>
      <c r="B27" s="142" t="s">
        <v>203</v>
      </c>
      <c r="C27" s="77">
        <v>1</v>
      </c>
      <c r="D27" s="77" t="s">
        <v>323</v>
      </c>
      <c r="E27" s="113">
        <v>4.75</v>
      </c>
      <c r="F27" s="104">
        <v>17697</v>
      </c>
      <c r="G27" s="76">
        <v>1.75</v>
      </c>
      <c r="H27" s="104">
        <f t="shared" si="0"/>
        <v>147106.3125</v>
      </c>
      <c r="I27" s="104"/>
      <c r="J27" s="104">
        <f t="shared" si="1"/>
        <v>147106.3125</v>
      </c>
      <c r="K27" s="104">
        <f t="shared" si="2"/>
        <v>14710.63125</v>
      </c>
      <c r="L27" s="104"/>
      <c r="M27" s="153"/>
      <c r="N27" s="153"/>
      <c r="O27" s="105"/>
      <c r="P27" s="153"/>
      <c r="Q27" s="105"/>
      <c r="R27" s="105"/>
      <c r="S27" s="105"/>
      <c r="T27" s="105"/>
      <c r="U27" s="105"/>
      <c r="V27" s="105"/>
      <c r="W27" s="105">
        <f t="shared" si="3"/>
        <v>161816.94375000001</v>
      </c>
      <c r="X27" s="105">
        <f t="shared" si="4"/>
        <v>1941.8033250000001</v>
      </c>
    </row>
    <row r="28" spans="1:24" s="147" customFormat="1" x14ac:dyDescent="0.2">
      <c r="A28" s="77">
        <v>17</v>
      </c>
      <c r="B28" s="142" t="s">
        <v>204</v>
      </c>
      <c r="C28" s="77">
        <v>1</v>
      </c>
      <c r="D28" s="77" t="s">
        <v>176</v>
      </c>
      <c r="E28" s="113">
        <v>5.99</v>
      </c>
      <c r="F28" s="104">
        <v>17697</v>
      </c>
      <c r="G28" s="76">
        <v>2.63</v>
      </c>
      <c r="H28" s="104">
        <f t="shared" si="0"/>
        <v>278793.22889999999</v>
      </c>
      <c r="I28" s="104"/>
      <c r="J28" s="104">
        <f t="shared" si="1"/>
        <v>278793.22889999999</v>
      </c>
      <c r="K28" s="104">
        <f t="shared" si="2"/>
        <v>27879.322889999999</v>
      </c>
      <c r="L28" s="104"/>
      <c r="M28" s="153"/>
      <c r="N28" s="153"/>
      <c r="O28" s="105"/>
      <c r="P28" s="153"/>
      <c r="Q28" s="105"/>
      <c r="R28" s="105"/>
      <c r="S28" s="105"/>
      <c r="T28" s="105"/>
      <c r="U28" s="105"/>
      <c r="V28" s="105"/>
      <c r="W28" s="105">
        <f t="shared" si="3"/>
        <v>306672.55179</v>
      </c>
      <c r="X28" s="105">
        <f t="shared" si="4"/>
        <v>3680.0706214800002</v>
      </c>
    </row>
    <row r="29" spans="1:24" s="147" customFormat="1" x14ac:dyDescent="0.2">
      <c r="A29" s="77">
        <v>18</v>
      </c>
      <c r="B29" s="142" t="s">
        <v>206</v>
      </c>
      <c r="C29" s="77">
        <v>0.5</v>
      </c>
      <c r="D29" s="77" t="s">
        <v>324</v>
      </c>
      <c r="E29" s="113">
        <v>4.46</v>
      </c>
      <c r="F29" s="104">
        <v>17697</v>
      </c>
      <c r="G29" s="76">
        <v>1.95</v>
      </c>
      <c r="H29" s="104">
        <f t="shared" si="0"/>
        <v>76955.40449999999</v>
      </c>
      <c r="I29" s="104"/>
      <c r="J29" s="104">
        <f t="shared" si="1"/>
        <v>76955.40449999999</v>
      </c>
      <c r="K29" s="104">
        <f t="shared" si="2"/>
        <v>7695.5404499999995</v>
      </c>
      <c r="L29" s="104"/>
      <c r="M29" s="153"/>
      <c r="N29" s="153"/>
      <c r="O29" s="105"/>
      <c r="P29" s="153"/>
      <c r="Q29" s="105"/>
      <c r="R29" s="105"/>
      <c r="S29" s="105"/>
      <c r="T29" s="105"/>
      <c r="U29" s="105"/>
      <c r="V29" s="105"/>
      <c r="W29" s="105">
        <f t="shared" si="3"/>
        <v>84650.94494999999</v>
      </c>
      <c r="X29" s="105">
        <f t="shared" si="4"/>
        <v>1015.8113394</v>
      </c>
    </row>
    <row r="30" spans="1:24" s="147" customFormat="1" x14ac:dyDescent="0.2">
      <c r="A30" s="77">
        <v>19</v>
      </c>
      <c r="B30" s="142" t="s">
        <v>206</v>
      </c>
      <c r="C30" s="77">
        <v>1</v>
      </c>
      <c r="D30" s="77" t="s">
        <v>325</v>
      </c>
      <c r="E30" s="113">
        <v>3.41</v>
      </c>
      <c r="F30" s="104">
        <v>17697</v>
      </c>
      <c r="G30" s="76">
        <v>1.95</v>
      </c>
      <c r="H30" s="104">
        <f t="shared" si="0"/>
        <v>117676.20150000001</v>
      </c>
      <c r="I30" s="104"/>
      <c r="J30" s="104">
        <f t="shared" si="1"/>
        <v>117676.20150000001</v>
      </c>
      <c r="K30" s="104">
        <f t="shared" si="2"/>
        <v>11767.620150000002</v>
      </c>
      <c r="L30" s="104"/>
      <c r="M30" s="153"/>
      <c r="N30" s="153"/>
      <c r="O30" s="105"/>
      <c r="P30" s="153"/>
      <c r="Q30" s="105"/>
      <c r="R30" s="105"/>
      <c r="S30" s="105"/>
      <c r="T30" s="105"/>
      <c r="U30" s="105"/>
      <c r="V30" s="105"/>
      <c r="W30" s="105">
        <f t="shared" si="3"/>
        <v>129443.82165000001</v>
      </c>
      <c r="X30" s="105">
        <f t="shared" si="4"/>
        <v>1553.3258598000002</v>
      </c>
    </row>
    <row r="31" spans="1:24" s="147" customFormat="1" x14ac:dyDescent="0.2">
      <c r="A31" s="77">
        <v>20</v>
      </c>
      <c r="B31" s="142" t="s">
        <v>209</v>
      </c>
      <c r="C31" s="77">
        <v>1</v>
      </c>
      <c r="D31" s="77" t="s">
        <v>13</v>
      </c>
      <c r="E31" s="113">
        <v>4</v>
      </c>
      <c r="F31" s="104">
        <v>17697</v>
      </c>
      <c r="G31" s="76">
        <v>1.23</v>
      </c>
      <c r="H31" s="104">
        <f t="shared" si="0"/>
        <v>87069.24</v>
      </c>
      <c r="I31" s="104"/>
      <c r="J31" s="104">
        <f t="shared" si="1"/>
        <v>87069.24</v>
      </c>
      <c r="K31" s="104">
        <f t="shared" si="2"/>
        <v>8706.9240000000009</v>
      </c>
      <c r="L31" s="104"/>
      <c r="M31" s="153"/>
      <c r="N31" s="153"/>
      <c r="O31" s="105"/>
      <c r="P31" s="153"/>
      <c r="Q31" s="105"/>
      <c r="R31" s="105"/>
      <c r="S31" s="105"/>
      <c r="T31" s="105"/>
      <c r="U31" s="105"/>
      <c r="V31" s="105"/>
      <c r="W31" s="105">
        <f t="shared" si="3"/>
        <v>95776.164000000004</v>
      </c>
      <c r="X31" s="105">
        <f t="shared" si="4"/>
        <v>1149.3139680000002</v>
      </c>
    </row>
    <row r="32" spans="1:24" s="147" customFormat="1" x14ac:dyDescent="0.2">
      <c r="A32" s="77">
        <v>21</v>
      </c>
      <c r="B32" s="142" t="s">
        <v>209</v>
      </c>
      <c r="C32" s="77">
        <v>1</v>
      </c>
      <c r="D32" s="77" t="s">
        <v>13</v>
      </c>
      <c r="E32" s="113">
        <v>3.94</v>
      </c>
      <c r="F32" s="104">
        <v>17697</v>
      </c>
      <c r="G32" s="76">
        <v>1.23</v>
      </c>
      <c r="H32" s="104">
        <f t="shared" si="0"/>
        <v>85763.201399999991</v>
      </c>
      <c r="I32" s="104"/>
      <c r="J32" s="104">
        <f t="shared" si="1"/>
        <v>85763.201399999991</v>
      </c>
      <c r="K32" s="104">
        <f t="shared" si="2"/>
        <v>8576.3201399999998</v>
      </c>
      <c r="L32" s="104"/>
      <c r="M32" s="154"/>
      <c r="N32" s="153"/>
      <c r="O32" s="105"/>
      <c r="P32" s="153"/>
      <c r="Q32" s="105"/>
      <c r="R32" s="105"/>
      <c r="S32" s="105"/>
      <c r="T32" s="105"/>
      <c r="U32" s="105"/>
      <c r="V32" s="105"/>
      <c r="W32" s="105">
        <f t="shared" si="3"/>
        <v>94339.521539999987</v>
      </c>
      <c r="X32" s="105">
        <f t="shared" si="4"/>
        <v>1132.0742584799998</v>
      </c>
    </row>
    <row r="33" spans="1:24" s="147" customFormat="1" x14ac:dyDescent="0.2">
      <c r="A33" s="77">
        <v>22</v>
      </c>
      <c r="B33" s="142" t="s">
        <v>209</v>
      </c>
      <c r="C33" s="77">
        <v>1</v>
      </c>
      <c r="D33" s="77" t="s">
        <v>13</v>
      </c>
      <c r="E33" s="113">
        <v>3.94</v>
      </c>
      <c r="F33" s="104">
        <v>17697</v>
      </c>
      <c r="G33" s="76">
        <v>1.23</v>
      </c>
      <c r="H33" s="104">
        <f t="shared" si="0"/>
        <v>85763.201399999991</v>
      </c>
      <c r="I33" s="104"/>
      <c r="J33" s="104">
        <f t="shared" si="1"/>
        <v>85763.201399999991</v>
      </c>
      <c r="K33" s="104">
        <f t="shared" si="2"/>
        <v>8576.3201399999998</v>
      </c>
      <c r="L33" s="104"/>
      <c r="M33" s="153"/>
      <c r="N33" s="153"/>
      <c r="O33" s="105"/>
      <c r="P33" s="153"/>
      <c r="Q33" s="105"/>
      <c r="R33" s="105"/>
      <c r="S33" s="105"/>
      <c r="T33" s="105"/>
      <c r="U33" s="105"/>
      <c r="V33" s="105"/>
      <c r="W33" s="105">
        <f t="shared" si="3"/>
        <v>94339.521539999987</v>
      </c>
      <c r="X33" s="105">
        <f t="shared" si="4"/>
        <v>1132.0742584799998</v>
      </c>
    </row>
    <row r="34" spans="1:24" s="147" customFormat="1" x14ac:dyDescent="0.2">
      <c r="A34" s="77">
        <v>23</v>
      </c>
      <c r="B34" s="142" t="s">
        <v>209</v>
      </c>
      <c r="C34" s="77">
        <v>1</v>
      </c>
      <c r="D34" s="77" t="s">
        <v>13</v>
      </c>
      <c r="E34" s="113">
        <v>3.52</v>
      </c>
      <c r="F34" s="104">
        <v>17697</v>
      </c>
      <c r="G34" s="76">
        <v>1.23</v>
      </c>
      <c r="H34" s="104">
        <f t="shared" si="0"/>
        <v>76620.931200000006</v>
      </c>
      <c r="I34" s="104"/>
      <c r="J34" s="104">
        <f t="shared" si="1"/>
        <v>76620.931200000006</v>
      </c>
      <c r="K34" s="104">
        <f t="shared" si="2"/>
        <v>7662.0931200000014</v>
      </c>
      <c r="L34" s="104"/>
      <c r="M34" s="153"/>
      <c r="N34" s="153"/>
      <c r="O34" s="105"/>
      <c r="P34" s="153"/>
      <c r="Q34" s="105"/>
      <c r="R34" s="105"/>
      <c r="S34" s="105"/>
      <c r="T34" s="105"/>
      <c r="U34" s="105"/>
      <c r="V34" s="105"/>
      <c r="W34" s="105">
        <f t="shared" si="3"/>
        <v>84283.024320000011</v>
      </c>
      <c r="X34" s="105">
        <f t="shared" si="4"/>
        <v>1011.3962918400001</v>
      </c>
    </row>
    <row r="35" spans="1:24" s="147" customFormat="1" x14ac:dyDescent="0.2">
      <c r="A35" s="77">
        <v>24</v>
      </c>
      <c r="B35" s="143" t="s">
        <v>209</v>
      </c>
      <c r="C35" s="77">
        <v>1</v>
      </c>
      <c r="D35" s="77" t="s">
        <v>13</v>
      </c>
      <c r="E35" s="113">
        <v>3.85</v>
      </c>
      <c r="F35" s="104">
        <v>17697</v>
      </c>
      <c r="G35" s="76">
        <v>1.23</v>
      </c>
      <c r="H35" s="104">
        <f t="shared" si="0"/>
        <v>83804.143499999991</v>
      </c>
      <c r="I35" s="104"/>
      <c r="J35" s="104">
        <f t="shared" si="1"/>
        <v>83804.143499999991</v>
      </c>
      <c r="K35" s="104">
        <f t="shared" si="2"/>
        <v>8380.4143499999991</v>
      </c>
      <c r="L35" s="104"/>
      <c r="M35" s="153"/>
      <c r="N35" s="153"/>
      <c r="O35" s="105"/>
      <c r="P35" s="153"/>
      <c r="Q35" s="105"/>
      <c r="R35" s="105"/>
      <c r="S35" s="105"/>
      <c r="T35" s="105"/>
      <c r="U35" s="105"/>
      <c r="V35" s="105"/>
      <c r="W35" s="105">
        <f t="shared" si="3"/>
        <v>92184.557849999983</v>
      </c>
      <c r="X35" s="105">
        <f t="shared" si="4"/>
        <v>1106.2146941999997</v>
      </c>
    </row>
    <row r="36" spans="1:24" s="147" customFormat="1" x14ac:dyDescent="0.2">
      <c r="A36" s="77">
        <v>25</v>
      </c>
      <c r="B36" s="142" t="s">
        <v>209</v>
      </c>
      <c r="C36" s="77">
        <v>1</v>
      </c>
      <c r="D36" s="77" t="s">
        <v>13</v>
      </c>
      <c r="E36" s="113">
        <v>3.94</v>
      </c>
      <c r="F36" s="104">
        <v>17697</v>
      </c>
      <c r="G36" s="76">
        <v>1.23</v>
      </c>
      <c r="H36" s="104">
        <f t="shared" si="0"/>
        <v>85763.201399999991</v>
      </c>
      <c r="I36" s="104"/>
      <c r="J36" s="104">
        <f t="shared" si="1"/>
        <v>85763.201399999991</v>
      </c>
      <c r="K36" s="104">
        <f t="shared" si="2"/>
        <v>8576.3201399999998</v>
      </c>
      <c r="L36" s="104"/>
      <c r="M36" s="153"/>
      <c r="N36" s="153"/>
      <c r="O36" s="105"/>
      <c r="P36" s="153"/>
      <c r="Q36" s="105"/>
      <c r="R36" s="105"/>
      <c r="S36" s="105"/>
      <c r="T36" s="105"/>
      <c r="U36" s="105"/>
      <c r="V36" s="105"/>
      <c r="W36" s="105">
        <f t="shared" si="3"/>
        <v>94339.521539999987</v>
      </c>
      <c r="X36" s="105">
        <f t="shared" si="4"/>
        <v>1132.0742584799998</v>
      </c>
    </row>
    <row r="37" spans="1:24" s="147" customFormat="1" ht="25.5" x14ac:dyDescent="0.2">
      <c r="A37" s="77">
        <v>26</v>
      </c>
      <c r="B37" s="142" t="s">
        <v>216</v>
      </c>
      <c r="C37" s="77">
        <v>1</v>
      </c>
      <c r="D37" s="77" t="s">
        <v>12</v>
      </c>
      <c r="E37" s="113">
        <v>5.31</v>
      </c>
      <c r="F37" s="104">
        <v>17697</v>
      </c>
      <c r="G37" s="76">
        <v>1.75</v>
      </c>
      <c r="H37" s="104">
        <f t="shared" si="0"/>
        <v>164449.3725</v>
      </c>
      <c r="I37" s="104"/>
      <c r="J37" s="104">
        <f t="shared" si="1"/>
        <v>164449.3725</v>
      </c>
      <c r="K37" s="104">
        <f t="shared" si="2"/>
        <v>16444.937249999999</v>
      </c>
      <c r="L37" s="104"/>
      <c r="M37" s="153"/>
      <c r="N37" s="153"/>
      <c r="O37" s="105"/>
      <c r="P37" s="153"/>
      <c r="Q37" s="105"/>
      <c r="R37" s="105"/>
      <c r="S37" s="105"/>
      <c r="T37" s="105"/>
      <c r="U37" s="105"/>
      <c r="V37" s="105"/>
      <c r="W37" s="105">
        <f t="shared" si="3"/>
        <v>180894.30974999999</v>
      </c>
      <c r="X37" s="105">
        <f t="shared" si="4"/>
        <v>2170.7317169999997</v>
      </c>
    </row>
    <row r="38" spans="1:24" s="147" customFormat="1" ht="25.5" x14ac:dyDescent="0.2">
      <c r="A38" s="77">
        <v>27</v>
      </c>
      <c r="B38" s="142" t="s">
        <v>218</v>
      </c>
      <c r="C38" s="77">
        <v>0.5</v>
      </c>
      <c r="D38" s="77" t="s">
        <v>12</v>
      </c>
      <c r="E38" s="113">
        <v>5.31</v>
      </c>
      <c r="F38" s="104">
        <v>17697</v>
      </c>
      <c r="G38" s="76">
        <v>1.23</v>
      </c>
      <c r="H38" s="104">
        <f t="shared" si="0"/>
        <v>57792.208049999994</v>
      </c>
      <c r="I38" s="104"/>
      <c r="J38" s="104">
        <f t="shared" si="1"/>
        <v>57792.208049999994</v>
      </c>
      <c r="K38" s="104">
        <f t="shared" si="2"/>
        <v>5779.2208049999999</v>
      </c>
      <c r="L38" s="104"/>
      <c r="M38" s="153"/>
      <c r="N38" s="153"/>
      <c r="O38" s="105"/>
      <c r="P38" s="153"/>
      <c r="Q38" s="105"/>
      <c r="R38" s="105"/>
      <c r="S38" s="105"/>
      <c r="T38" s="105"/>
      <c r="U38" s="105"/>
      <c r="V38" s="105"/>
      <c r="W38" s="105">
        <f t="shared" si="3"/>
        <v>63571.428854999991</v>
      </c>
      <c r="X38" s="105">
        <f t="shared" si="4"/>
        <v>762.85714625999981</v>
      </c>
    </row>
    <row r="39" spans="1:24" s="147" customFormat="1" ht="25.5" x14ac:dyDescent="0.2">
      <c r="A39" s="77">
        <v>28</v>
      </c>
      <c r="B39" s="142" t="s">
        <v>218</v>
      </c>
      <c r="C39" s="77">
        <v>0.5</v>
      </c>
      <c r="D39" s="77" t="s">
        <v>12</v>
      </c>
      <c r="E39" s="113">
        <v>4.8600000000000003</v>
      </c>
      <c r="F39" s="104">
        <v>17697</v>
      </c>
      <c r="G39" s="76">
        <v>1.23</v>
      </c>
      <c r="H39" s="104">
        <f t="shared" si="0"/>
        <v>52894.563300000009</v>
      </c>
      <c r="I39" s="104"/>
      <c r="J39" s="104">
        <f t="shared" si="1"/>
        <v>52894.563300000009</v>
      </c>
      <c r="K39" s="104">
        <f t="shared" si="2"/>
        <v>5289.4563300000009</v>
      </c>
      <c r="L39" s="104"/>
      <c r="M39" s="153"/>
      <c r="N39" s="153"/>
      <c r="O39" s="105"/>
      <c r="P39" s="153"/>
      <c r="Q39" s="105"/>
      <c r="R39" s="105"/>
      <c r="S39" s="105"/>
      <c r="T39" s="105"/>
      <c r="U39" s="105"/>
      <c r="V39" s="105"/>
      <c r="W39" s="105">
        <f t="shared" si="3"/>
        <v>58184.01963000001</v>
      </c>
      <c r="X39" s="105">
        <f t="shared" si="4"/>
        <v>698.20823556000016</v>
      </c>
    </row>
    <row r="40" spans="1:24" s="147" customFormat="1" x14ac:dyDescent="0.2">
      <c r="A40" s="77">
        <v>29</v>
      </c>
      <c r="B40" s="142" t="s">
        <v>220</v>
      </c>
      <c r="C40" s="77">
        <v>1</v>
      </c>
      <c r="D40" s="77" t="s">
        <v>11</v>
      </c>
      <c r="E40" s="113">
        <v>4.46</v>
      </c>
      <c r="F40" s="104">
        <v>17697</v>
      </c>
      <c r="G40" s="76">
        <v>1.23</v>
      </c>
      <c r="H40" s="104">
        <f t="shared" si="0"/>
        <v>97082.20259999999</v>
      </c>
      <c r="I40" s="104"/>
      <c r="J40" s="104">
        <f t="shared" si="1"/>
        <v>97082.20259999999</v>
      </c>
      <c r="K40" s="104">
        <f t="shared" si="2"/>
        <v>9708.2202600000001</v>
      </c>
      <c r="L40" s="104"/>
      <c r="M40" s="153">
        <f>17697*30%</f>
        <v>5309.0999999999995</v>
      </c>
      <c r="N40" s="153"/>
      <c r="O40" s="105"/>
      <c r="P40" s="153"/>
      <c r="Q40" s="105"/>
      <c r="R40" s="105"/>
      <c r="S40" s="105"/>
      <c r="T40" s="105"/>
      <c r="U40" s="105"/>
      <c r="V40" s="105"/>
      <c r="W40" s="105">
        <f t="shared" si="3"/>
        <v>112099.52286</v>
      </c>
      <c r="X40" s="105">
        <f t="shared" si="4"/>
        <v>1345.1942743199997</v>
      </c>
    </row>
    <row r="41" spans="1:24" s="147" customFormat="1" ht="25.5" x14ac:dyDescent="0.2">
      <c r="A41" s="77">
        <v>30</v>
      </c>
      <c r="B41" s="143" t="s">
        <v>222</v>
      </c>
      <c r="C41" s="77">
        <v>1</v>
      </c>
      <c r="D41" s="77" t="s">
        <v>11</v>
      </c>
      <c r="E41" s="113">
        <v>4.2300000000000004</v>
      </c>
      <c r="F41" s="104">
        <v>17697</v>
      </c>
      <c r="G41" s="76">
        <v>1.23</v>
      </c>
      <c r="H41" s="104">
        <f t="shared" si="0"/>
        <v>92075.721300000019</v>
      </c>
      <c r="I41" s="104"/>
      <c r="J41" s="104">
        <f t="shared" si="1"/>
        <v>92075.721300000019</v>
      </c>
      <c r="K41" s="104">
        <f t="shared" si="2"/>
        <v>9207.5721300000023</v>
      </c>
      <c r="L41" s="104"/>
      <c r="M41" s="153"/>
      <c r="N41" s="153"/>
      <c r="O41" s="105"/>
      <c r="P41" s="153"/>
      <c r="Q41" s="105"/>
      <c r="R41" s="105"/>
      <c r="S41" s="105"/>
      <c r="T41" s="105"/>
      <c r="U41" s="105"/>
      <c r="V41" s="105"/>
      <c r="W41" s="105">
        <f t="shared" si="3"/>
        <v>101283.29343000002</v>
      </c>
      <c r="X41" s="105">
        <f t="shared" si="4"/>
        <v>1215.3995211600002</v>
      </c>
    </row>
    <row r="42" spans="1:24" s="147" customFormat="1" x14ac:dyDescent="0.2">
      <c r="A42" s="77">
        <v>31</v>
      </c>
      <c r="B42" s="142" t="s">
        <v>224</v>
      </c>
      <c r="C42" s="77">
        <v>1</v>
      </c>
      <c r="D42" s="77" t="s">
        <v>11</v>
      </c>
      <c r="E42" s="113">
        <v>4.46</v>
      </c>
      <c r="F42" s="104">
        <v>17697</v>
      </c>
      <c r="G42" s="76">
        <v>1.23</v>
      </c>
      <c r="H42" s="104">
        <f t="shared" si="0"/>
        <v>97082.20259999999</v>
      </c>
      <c r="I42" s="104"/>
      <c r="J42" s="104">
        <f t="shared" si="1"/>
        <v>97082.20259999999</v>
      </c>
      <c r="K42" s="104">
        <f t="shared" si="2"/>
        <v>9708.2202600000001</v>
      </c>
      <c r="L42" s="104"/>
      <c r="M42" s="153"/>
      <c r="N42" s="153"/>
      <c r="O42" s="105"/>
      <c r="P42" s="153"/>
      <c r="Q42" s="105"/>
      <c r="R42" s="105"/>
      <c r="S42" s="105"/>
      <c r="T42" s="105"/>
      <c r="U42" s="105"/>
      <c r="V42" s="105"/>
      <c r="W42" s="105">
        <f t="shared" si="3"/>
        <v>106790.42285999999</v>
      </c>
      <c r="X42" s="105">
        <f t="shared" si="4"/>
        <v>1281.48507432</v>
      </c>
    </row>
    <row r="43" spans="1:24" s="147" customFormat="1" ht="25.5" x14ac:dyDescent="0.2">
      <c r="A43" s="77">
        <v>32</v>
      </c>
      <c r="B43" s="142" t="s">
        <v>226</v>
      </c>
      <c r="C43" s="77">
        <v>1</v>
      </c>
      <c r="D43" s="77" t="s">
        <v>321</v>
      </c>
      <c r="E43" s="113">
        <v>4.46</v>
      </c>
      <c r="F43" s="104">
        <v>17697</v>
      </c>
      <c r="G43" s="76">
        <v>1.23</v>
      </c>
      <c r="H43" s="104">
        <f t="shared" si="0"/>
        <v>97082.20259999999</v>
      </c>
      <c r="I43" s="104"/>
      <c r="J43" s="104">
        <f t="shared" si="1"/>
        <v>97082.20259999999</v>
      </c>
      <c r="K43" s="104">
        <f t="shared" si="2"/>
        <v>9708.2202600000001</v>
      </c>
      <c r="L43" s="104"/>
      <c r="M43" s="153"/>
      <c r="N43" s="153"/>
      <c r="O43" s="105"/>
      <c r="P43" s="153"/>
      <c r="Q43" s="105"/>
      <c r="R43" s="105"/>
      <c r="S43" s="105"/>
      <c r="T43" s="105"/>
      <c r="U43" s="105"/>
      <c r="V43" s="105"/>
      <c r="W43" s="105">
        <f t="shared" si="3"/>
        <v>106790.42285999999</v>
      </c>
      <c r="X43" s="105">
        <f t="shared" si="4"/>
        <v>1281.48507432</v>
      </c>
    </row>
    <row r="44" spans="1:24" s="147" customFormat="1" x14ac:dyDescent="0.2">
      <c r="A44" s="77">
        <v>33</v>
      </c>
      <c r="B44" s="142" t="s">
        <v>228</v>
      </c>
      <c r="C44" s="77">
        <v>0.5</v>
      </c>
      <c r="D44" s="141" t="s">
        <v>14</v>
      </c>
      <c r="E44" s="114">
        <v>3.16</v>
      </c>
      <c r="F44" s="104">
        <v>17697</v>
      </c>
      <c r="G44" s="76">
        <v>1.23</v>
      </c>
      <c r="H44" s="104">
        <f t="shared" si="0"/>
        <v>34392.349800000004</v>
      </c>
      <c r="I44" s="104"/>
      <c r="J44" s="104">
        <f t="shared" si="1"/>
        <v>34392.349800000004</v>
      </c>
      <c r="K44" s="104">
        <f t="shared" si="2"/>
        <v>3439.2349800000006</v>
      </c>
      <c r="L44" s="104"/>
      <c r="M44" s="153"/>
      <c r="N44" s="153"/>
      <c r="O44" s="105"/>
      <c r="P44" s="153"/>
      <c r="Q44" s="105"/>
      <c r="R44" s="105"/>
      <c r="S44" s="105"/>
      <c r="T44" s="105"/>
      <c r="U44" s="105"/>
      <c r="V44" s="105"/>
      <c r="W44" s="105">
        <f t="shared" si="3"/>
        <v>37831.584780000005</v>
      </c>
      <c r="X44" s="105">
        <f t="shared" si="4"/>
        <v>453.97901736000006</v>
      </c>
    </row>
    <row r="45" spans="1:24" s="147" customFormat="1" x14ac:dyDescent="0.2">
      <c r="A45" s="77">
        <v>34</v>
      </c>
      <c r="B45" s="142" t="s">
        <v>228</v>
      </c>
      <c r="C45" s="77">
        <v>0.5</v>
      </c>
      <c r="D45" s="77" t="s">
        <v>14</v>
      </c>
      <c r="E45" s="113">
        <v>3.12</v>
      </c>
      <c r="F45" s="104">
        <v>17697</v>
      </c>
      <c r="G45" s="76">
        <v>1.23</v>
      </c>
      <c r="H45" s="104">
        <f t="shared" si="0"/>
        <v>33957.003599999996</v>
      </c>
      <c r="I45" s="104"/>
      <c r="J45" s="104">
        <f t="shared" si="1"/>
        <v>33957.003599999996</v>
      </c>
      <c r="K45" s="104">
        <f t="shared" si="2"/>
        <v>3395.7003599999998</v>
      </c>
      <c r="L45" s="104"/>
      <c r="M45" s="153"/>
      <c r="N45" s="153"/>
      <c r="O45" s="105"/>
      <c r="P45" s="153"/>
      <c r="Q45" s="105"/>
      <c r="R45" s="105"/>
      <c r="S45" s="105"/>
      <c r="T45" s="105"/>
      <c r="U45" s="105"/>
      <c r="V45" s="105"/>
      <c r="W45" s="105">
        <f t="shared" si="3"/>
        <v>37352.703959999999</v>
      </c>
      <c r="X45" s="105">
        <f t="shared" si="4"/>
        <v>448.23244751999999</v>
      </c>
    </row>
    <row r="46" spans="1:24" s="147" customFormat="1" ht="25.5" x14ac:dyDescent="0.2">
      <c r="A46" s="77">
        <v>35</v>
      </c>
      <c r="B46" s="142" t="s">
        <v>230</v>
      </c>
      <c r="C46" s="77">
        <v>1</v>
      </c>
      <c r="D46" s="77" t="s">
        <v>14</v>
      </c>
      <c r="E46" s="113">
        <v>3.16</v>
      </c>
      <c r="F46" s="104">
        <v>17697</v>
      </c>
      <c r="G46" s="76">
        <v>1.23</v>
      </c>
      <c r="H46" s="104">
        <f t="shared" si="0"/>
        <v>68784.699600000007</v>
      </c>
      <c r="I46" s="104"/>
      <c r="J46" s="104">
        <f t="shared" si="1"/>
        <v>68784.699600000007</v>
      </c>
      <c r="K46" s="104">
        <f t="shared" si="2"/>
        <v>6878.4699600000013</v>
      </c>
      <c r="L46" s="104"/>
      <c r="M46" s="153"/>
      <c r="N46" s="153"/>
      <c r="O46" s="105"/>
      <c r="P46" s="153"/>
      <c r="Q46" s="105"/>
      <c r="R46" s="105"/>
      <c r="S46" s="105"/>
      <c r="T46" s="105"/>
      <c r="U46" s="105"/>
      <c r="V46" s="105"/>
      <c r="W46" s="105">
        <f t="shared" si="3"/>
        <v>75663.169560000009</v>
      </c>
      <c r="X46" s="105">
        <f t="shared" si="4"/>
        <v>907.95803472000011</v>
      </c>
    </row>
    <row r="47" spans="1:24" s="147" customFormat="1" x14ac:dyDescent="0.2">
      <c r="A47" s="77">
        <v>36</v>
      </c>
      <c r="B47" s="142" t="s">
        <v>232</v>
      </c>
      <c r="C47" s="77">
        <v>1</v>
      </c>
      <c r="D47" s="77" t="s">
        <v>326</v>
      </c>
      <c r="E47" s="113">
        <v>4.75</v>
      </c>
      <c r="F47" s="104">
        <v>17697</v>
      </c>
      <c r="G47" s="76">
        <v>1.75</v>
      </c>
      <c r="H47" s="104">
        <f t="shared" si="0"/>
        <v>147106.3125</v>
      </c>
      <c r="I47" s="104"/>
      <c r="J47" s="104">
        <f t="shared" si="1"/>
        <v>147106.3125</v>
      </c>
      <c r="K47" s="104">
        <f t="shared" si="2"/>
        <v>14710.63125</v>
      </c>
      <c r="L47" s="104"/>
      <c r="M47" s="153"/>
      <c r="N47" s="153"/>
      <c r="O47" s="105"/>
      <c r="P47" s="153"/>
      <c r="Q47" s="105"/>
      <c r="R47" s="105"/>
      <c r="S47" s="105"/>
      <c r="T47" s="105">
        <f>J47*40%</f>
        <v>58842.525000000001</v>
      </c>
      <c r="U47" s="105"/>
      <c r="V47" s="105"/>
      <c r="W47" s="105">
        <f t="shared" si="3"/>
        <v>220659.46875</v>
      </c>
      <c r="X47" s="105">
        <f t="shared" si="4"/>
        <v>2647.9136250000001</v>
      </c>
    </row>
    <row r="48" spans="1:24" s="147" customFormat="1" x14ac:dyDescent="0.2">
      <c r="A48" s="77">
        <v>37</v>
      </c>
      <c r="B48" s="142" t="s">
        <v>232</v>
      </c>
      <c r="C48" s="77">
        <v>1</v>
      </c>
      <c r="D48" s="77" t="s">
        <v>326</v>
      </c>
      <c r="E48" s="113">
        <v>4.75</v>
      </c>
      <c r="F48" s="104">
        <v>17697</v>
      </c>
      <c r="G48" s="76">
        <v>1.75</v>
      </c>
      <c r="H48" s="104">
        <f t="shared" si="0"/>
        <v>147106.3125</v>
      </c>
      <c r="I48" s="104"/>
      <c r="J48" s="104">
        <f t="shared" si="1"/>
        <v>147106.3125</v>
      </c>
      <c r="K48" s="104">
        <f t="shared" si="2"/>
        <v>14710.63125</v>
      </c>
      <c r="L48" s="104"/>
      <c r="M48" s="153"/>
      <c r="N48" s="153"/>
      <c r="O48" s="105"/>
      <c r="P48" s="153"/>
      <c r="Q48" s="105"/>
      <c r="R48" s="105"/>
      <c r="S48" s="105"/>
      <c r="T48" s="105"/>
      <c r="U48" s="105"/>
      <c r="V48" s="105"/>
      <c r="W48" s="105">
        <f t="shared" si="3"/>
        <v>161816.94375000001</v>
      </c>
      <c r="X48" s="105">
        <f t="shared" si="4"/>
        <v>1941.8033250000001</v>
      </c>
    </row>
    <row r="49" spans="1:24" s="147" customFormat="1" x14ac:dyDescent="0.2">
      <c r="A49" s="77">
        <v>38</v>
      </c>
      <c r="B49" s="142" t="s">
        <v>232</v>
      </c>
      <c r="C49" s="77">
        <v>1</v>
      </c>
      <c r="D49" s="103" t="s">
        <v>326</v>
      </c>
      <c r="E49" s="157">
        <v>4.62</v>
      </c>
      <c r="F49" s="104">
        <v>17697</v>
      </c>
      <c r="G49" s="76">
        <v>1.75</v>
      </c>
      <c r="H49" s="104">
        <f t="shared" si="0"/>
        <v>143080.245</v>
      </c>
      <c r="I49" s="104"/>
      <c r="J49" s="104">
        <f t="shared" si="1"/>
        <v>143080.245</v>
      </c>
      <c r="K49" s="104">
        <f t="shared" si="2"/>
        <v>14308.0245</v>
      </c>
      <c r="L49" s="104"/>
      <c r="M49" s="153"/>
      <c r="N49" s="153"/>
      <c r="O49" s="105"/>
      <c r="P49" s="153"/>
      <c r="Q49" s="105"/>
      <c r="R49" s="105"/>
      <c r="S49" s="105"/>
      <c r="T49" s="105"/>
      <c r="U49" s="105"/>
      <c r="V49" s="105"/>
      <c r="W49" s="105">
        <f t="shared" si="3"/>
        <v>157388.26949999999</v>
      </c>
      <c r="X49" s="105">
        <f t="shared" si="4"/>
        <v>1888.659234</v>
      </c>
    </row>
    <row r="50" spans="1:24" s="147" customFormat="1" x14ac:dyDescent="0.2">
      <c r="A50" s="77">
        <v>39</v>
      </c>
      <c r="B50" s="142" t="s">
        <v>232</v>
      </c>
      <c r="C50" s="77">
        <v>1</v>
      </c>
      <c r="D50" s="77" t="s">
        <v>326</v>
      </c>
      <c r="E50" s="113">
        <v>4.62</v>
      </c>
      <c r="F50" s="104">
        <v>17697</v>
      </c>
      <c r="G50" s="76">
        <v>1.75</v>
      </c>
      <c r="H50" s="104">
        <f t="shared" si="0"/>
        <v>143080.245</v>
      </c>
      <c r="I50" s="104"/>
      <c r="J50" s="104">
        <f t="shared" si="1"/>
        <v>143080.245</v>
      </c>
      <c r="K50" s="104">
        <f t="shared" si="2"/>
        <v>14308.0245</v>
      </c>
      <c r="L50" s="104"/>
      <c r="M50" s="153"/>
      <c r="N50" s="153"/>
      <c r="O50" s="105"/>
      <c r="P50" s="153"/>
      <c r="Q50" s="105"/>
      <c r="R50" s="105"/>
      <c r="S50" s="105"/>
      <c r="T50" s="105"/>
      <c r="U50" s="105"/>
      <c r="V50" s="105"/>
      <c r="W50" s="105">
        <f t="shared" si="3"/>
        <v>157388.26949999999</v>
      </c>
      <c r="X50" s="105">
        <f t="shared" si="4"/>
        <v>1888.659234</v>
      </c>
    </row>
    <row r="51" spans="1:24" s="147" customFormat="1" x14ac:dyDescent="0.2">
      <c r="A51" s="77">
        <v>40</v>
      </c>
      <c r="B51" s="142" t="s">
        <v>232</v>
      </c>
      <c r="C51" s="77">
        <v>1</v>
      </c>
      <c r="D51" s="77" t="s">
        <v>326</v>
      </c>
      <c r="E51" s="113">
        <v>4.55</v>
      </c>
      <c r="F51" s="104">
        <v>17697</v>
      </c>
      <c r="G51" s="76">
        <v>1.75</v>
      </c>
      <c r="H51" s="104">
        <f t="shared" si="0"/>
        <v>140912.36249999999</v>
      </c>
      <c r="I51" s="104"/>
      <c r="J51" s="104">
        <f t="shared" si="1"/>
        <v>140912.36249999999</v>
      </c>
      <c r="K51" s="104">
        <f t="shared" si="2"/>
        <v>14091.23625</v>
      </c>
      <c r="L51" s="104"/>
      <c r="M51" s="153"/>
      <c r="N51" s="153"/>
      <c r="O51" s="105"/>
      <c r="P51" s="153"/>
      <c r="Q51" s="105"/>
      <c r="R51" s="105"/>
      <c r="S51" s="105"/>
      <c r="T51" s="105">
        <f>J51*40%</f>
        <v>56364.945</v>
      </c>
      <c r="U51" s="105"/>
      <c r="V51" s="105"/>
      <c r="W51" s="105">
        <f t="shared" si="3"/>
        <v>211368.54374999998</v>
      </c>
      <c r="X51" s="105">
        <f t="shared" si="4"/>
        <v>2536.422525</v>
      </c>
    </row>
    <row r="52" spans="1:24" s="147" customFormat="1" x14ac:dyDescent="0.2">
      <c r="A52" s="77">
        <v>41</v>
      </c>
      <c r="B52" s="142" t="s">
        <v>232</v>
      </c>
      <c r="C52" s="77">
        <v>1</v>
      </c>
      <c r="D52" s="77" t="s">
        <v>326</v>
      </c>
      <c r="E52" s="113">
        <v>4.6900000000000004</v>
      </c>
      <c r="F52" s="104">
        <v>17697</v>
      </c>
      <c r="G52" s="76">
        <v>1.75</v>
      </c>
      <c r="H52" s="104">
        <f t="shared" si="0"/>
        <v>145248.1275</v>
      </c>
      <c r="I52" s="104"/>
      <c r="J52" s="104">
        <f t="shared" si="1"/>
        <v>145248.1275</v>
      </c>
      <c r="K52" s="104">
        <f t="shared" si="2"/>
        <v>14524.812750000001</v>
      </c>
      <c r="L52" s="104"/>
      <c r="M52" s="153"/>
      <c r="N52" s="153"/>
      <c r="O52" s="105"/>
      <c r="P52" s="153"/>
      <c r="Q52" s="105"/>
      <c r="R52" s="105"/>
      <c r="S52" s="105"/>
      <c r="T52" s="105">
        <f>J52*40%</f>
        <v>58099.251000000004</v>
      </c>
      <c r="U52" s="105"/>
      <c r="V52" s="105"/>
      <c r="W52" s="105">
        <f t="shared" si="3"/>
        <v>217872.19125000003</v>
      </c>
      <c r="X52" s="105">
        <f t="shared" si="4"/>
        <v>2614.4662950000002</v>
      </c>
    </row>
    <row r="53" spans="1:24" s="147" customFormat="1" x14ac:dyDescent="0.2">
      <c r="A53" s="77">
        <v>42</v>
      </c>
      <c r="B53" s="142" t="s">
        <v>232</v>
      </c>
      <c r="C53" s="77">
        <v>1</v>
      </c>
      <c r="D53" s="77" t="s">
        <v>326</v>
      </c>
      <c r="E53" s="113">
        <v>4.62</v>
      </c>
      <c r="F53" s="104">
        <v>17697</v>
      </c>
      <c r="G53" s="76">
        <v>1.75</v>
      </c>
      <c r="H53" s="104">
        <f t="shared" si="0"/>
        <v>143080.245</v>
      </c>
      <c r="I53" s="104"/>
      <c r="J53" s="104">
        <f t="shared" si="1"/>
        <v>143080.245</v>
      </c>
      <c r="K53" s="104">
        <f t="shared" si="2"/>
        <v>14308.0245</v>
      </c>
      <c r="L53" s="104"/>
      <c r="M53" s="153"/>
      <c r="N53" s="153"/>
      <c r="O53" s="105"/>
      <c r="P53" s="153"/>
      <c r="Q53" s="105"/>
      <c r="R53" s="105"/>
      <c r="S53" s="105"/>
      <c r="T53" s="105">
        <f>J53*40%</f>
        <v>57232.097999999998</v>
      </c>
      <c r="U53" s="105"/>
      <c r="V53" s="105"/>
      <c r="W53" s="105">
        <f t="shared" si="3"/>
        <v>214620.36749999999</v>
      </c>
      <c r="X53" s="105">
        <f t="shared" si="4"/>
        <v>2575.4444100000001</v>
      </c>
    </row>
    <row r="54" spans="1:24" s="147" customFormat="1" x14ac:dyDescent="0.2">
      <c r="A54" s="77">
        <v>43</v>
      </c>
      <c r="B54" s="142" t="s">
        <v>232</v>
      </c>
      <c r="C54" s="77">
        <v>1</v>
      </c>
      <c r="D54" s="77" t="s">
        <v>326</v>
      </c>
      <c r="E54" s="113">
        <v>4.62</v>
      </c>
      <c r="F54" s="104">
        <v>17697</v>
      </c>
      <c r="G54" s="76">
        <v>1.75</v>
      </c>
      <c r="H54" s="104">
        <f t="shared" si="0"/>
        <v>143080.245</v>
      </c>
      <c r="I54" s="104"/>
      <c r="J54" s="104">
        <f t="shared" si="1"/>
        <v>143080.245</v>
      </c>
      <c r="K54" s="104">
        <f t="shared" si="2"/>
        <v>14308.0245</v>
      </c>
      <c r="L54" s="104"/>
      <c r="M54" s="153"/>
      <c r="N54" s="153"/>
      <c r="O54" s="105"/>
      <c r="P54" s="153"/>
      <c r="Q54" s="105"/>
      <c r="R54" s="105"/>
      <c r="S54" s="105"/>
      <c r="T54" s="105">
        <f>J54*40%</f>
        <v>57232.097999999998</v>
      </c>
      <c r="U54" s="105"/>
      <c r="V54" s="105"/>
      <c r="W54" s="105">
        <f t="shared" si="3"/>
        <v>214620.36749999999</v>
      </c>
      <c r="X54" s="105">
        <f t="shared" si="4"/>
        <v>2575.4444100000001</v>
      </c>
    </row>
    <row r="55" spans="1:24" s="147" customFormat="1" x14ac:dyDescent="0.2">
      <c r="A55" s="77">
        <v>44</v>
      </c>
      <c r="B55" s="142" t="s">
        <v>232</v>
      </c>
      <c r="C55" s="77">
        <v>1</v>
      </c>
      <c r="D55" s="77" t="s">
        <v>327</v>
      </c>
      <c r="E55" s="113">
        <v>4.37</v>
      </c>
      <c r="F55" s="104">
        <v>17697</v>
      </c>
      <c r="G55" s="76">
        <v>1.75</v>
      </c>
      <c r="H55" s="104">
        <f t="shared" si="0"/>
        <v>135337.8075</v>
      </c>
      <c r="I55" s="104"/>
      <c r="J55" s="104">
        <f t="shared" si="1"/>
        <v>135337.8075</v>
      </c>
      <c r="K55" s="104">
        <f t="shared" si="2"/>
        <v>13533.78075</v>
      </c>
      <c r="L55" s="104"/>
      <c r="M55" s="153"/>
      <c r="N55" s="153"/>
      <c r="O55" s="105"/>
      <c r="P55" s="153"/>
      <c r="Q55" s="105"/>
      <c r="R55" s="105"/>
      <c r="S55" s="105"/>
      <c r="T55" s="105"/>
      <c r="U55" s="105"/>
      <c r="V55" s="105"/>
      <c r="W55" s="105">
        <f t="shared" si="3"/>
        <v>148871.58825</v>
      </c>
      <c r="X55" s="105">
        <f t="shared" si="4"/>
        <v>1786.4590589999998</v>
      </c>
    </row>
    <row r="56" spans="1:24" s="147" customFormat="1" x14ac:dyDescent="0.2">
      <c r="A56" s="77">
        <v>45</v>
      </c>
      <c r="B56" s="142" t="s">
        <v>232</v>
      </c>
      <c r="C56" s="77">
        <v>1</v>
      </c>
      <c r="D56" s="77" t="s">
        <v>326</v>
      </c>
      <c r="E56" s="113">
        <v>4.62</v>
      </c>
      <c r="F56" s="104">
        <v>17697</v>
      </c>
      <c r="G56" s="76">
        <v>1.75</v>
      </c>
      <c r="H56" s="104">
        <f t="shared" si="0"/>
        <v>143080.245</v>
      </c>
      <c r="I56" s="104"/>
      <c r="J56" s="104">
        <f t="shared" si="1"/>
        <v>143080.245</v>
      </c>
      <c r="K56" s="104">
        <f t="shared" si="2"/>
        <v>14308.0245</v>
      </c>
      <c r="L56" s="104"/>
      <c r="M56" s="153"/>
      <c r="N56" s="153"/>
      <c r="O56" s="105"/>
      <c r="P56" s="153"/>
      <c r="Q56" s="105"/>
      <c r="R56" s="105"/>
      <c r="S56" s="105"/>
      <c r="T56" s="105">
        <f>J56*40%</f>
        <v>57232.097999999998</v>
      </c>
      <c r="U56" s="105"/>
      <c r="V56" s="105"/>
      <c r="W56" s="105">
        <f t="shared" si="3"/>
        <v>214620.36749999999</v>
      </c>
      <c r="X56" s="105">
        <f t="shared" si="4"/>
        <v>2575.4444100000001</v>
      </c>
    </row>
    <row r="57" spans="1:24" s="147" customFormat="1" x14ac:dyDescent="0.2">
      <c r="A57" s="77">
        <v>46</v>
      </c>
      <c r="B57" s="142" t="s">
        <v>232</v>
      </c>
      <c r="C57" s="77">
        <v>1</v>
      </c>
      <c r="D57" s="77" t="s">
        <v>326</v>
      </c>
      <c r="E57" s="113">
        <v>4.62</v>
      </c>
      <c r="F57" s="104">
        <v>17697</v>
      </c>
      <c r="G57" s="76">
        <v>1.75</v>
      </c>
      <c r="H57" s="104">
        <f t="shared" si="0"/>
        <v>143080.245</v>
      </c>
      <c r="I57" s="104"/>
      <c r="J57" s="104">
        <f t="shared" si="1"/>
        <v>143080.245</v>
      </c>
      <c r="K57" s="104">
        <f t="shared" si="2"/>
        <v>14308.0245</v>
      </c>
      <c r="L57" s="104"/>
      <c r="M57" s="153"/>
      <c r="N57" s="153"/>
      <c r="O57" s="105"/>
      <c r="P57" s="153"/>
      <c r="Q57" s="105"/>
      <c r="R57" s="105"/>
      <c r="S57" s="105"/>
      <c r="T57" s="105">
        <f>J57*40%</f>
        <v>57232.097999999998</v>
      </c>
      <c r="U57" s="105"/>
      <c r="V57" s="105"/>
      <c r="W57" s="105">
        <f t="shared" si="3"/>
        <v>214620.36749999999</v>
      </c>
      <c r="X57" s="105">
        <f t="shared" si="4"/>
        <v>2575.4444100000001</v>
      </c>
    </row>
    <row r="58" spans="1:24" s="147" customFormat="1" x14ac:dyDescent="0.2">
      <c r="A58" s="77">
        <v>47</v>
      </c>
      <c r="B58" s="142" t="s">
        <v>232</v>
      </c>
      <c r="C58" s="77">
        <v>1</v>
      </c>
      <c r="D58" s="77" t="s">
        <v>327</v>
      </c>
      <c r="E58" s="113">
        <v>4.3</v>
      </c>
      <c r="F58" s="104">
        <v>17697</v>
      </c>
      <c r="G58" s="76">
        <v>1.75</v>
      </c>
      <c r="H58" s="104">
        <f t="shared" si="0"/>
        <v>133169.92499999999</v>
      </c>
      <c r="I58" s="104"/>
      <c r="J58" s="104">
        <f t="shared" si="1"/>
        <v>133169.92499999999</v>
      </c>
      <c r="K58" s="104">
        <f t="shared" si="2"/>
        <v>13316.9925</v>
      </c>
      <c r="L58" s="104"/>
      <c r="M58" s="153"/>
      <c r="N58" s="153"/>
      <c r="O58" s="105"/>
      <c r="P58" s="153"/>
      <c r="Q58" s="105"/>
      <c r="R58" s="105"/>
      <c r="S58" s="105"/>
      <c r="T58" s="105"/>
      <c r="U58" s="105"/>
      <c r="V58" s="105"/>
      <c r="W58" s="105">
        <f t="shared" si="3"/>
        <v>146486.91749999998</v>
      </c>
      <c r="X58" s="105">
        <f t="shared" si="4"/>
        <v>1757.8430099999998</v>
      </c>
    </row>
    <row r="59" spans="1:24" s="147" customFormat="1" x14ac:dyDescent="0.2">
      <c r="A59" s="77">
        <v>48</v>
      </c>
      <c r="B59" s="142" t="s">
        <v>232</v>
      </c>
      <c r="C59" s="77">
        <v>1</v>
      </c>
      <c r="D59" s="77" t="s">
        <v>327</v>
      </c>
      <c r="E59" s="113">
        <v>4.51</v>
      </c>
      <c r="F59" s="104">
        <v>17697</v>
      </c>
      <c r="G59" s="76">
        <v>1.75</v>
      </c>
      <c r="H59" s="104">
        <f t="shared" si="0"/>
        <v>139673.57250000001</v>
      </c>
      <c r="I59" s="104"/>
      <c r="J59" s="104">
        <f t="shared" si="1"/>
        <v>139673.57250000001</v>
      </c>
      <c r="K59" s="104">
        <f t="shared" si="2"/>
        <v>13967.357250000001</v>
      </c>
      <c r="L59" s="104"/>
      <c r="M59" s="153"/>
      <c r="N59" s="153"/>
      <c r="O59" s="105"/>
      <c r="P59" s="153"/>
      <c r="Q59" s="105"/>
      <c r="R59" s="105"/>
      <c r="S59" s="105">
        <f>H59*35%</f>
        <v>48885.750375000003</v>
      </c>
      <c r="T59" s="105"/>
      <c r="U59" s="105"/>
      <c r="V59" s="105"/>
      <c r="W59" s="105">
        <f t="shared" si="3"/>
        <v>202526.68012500001</v>
      </c>
      <c r="X59" s="105">
        <f t="shared" si="4"/>
        <v>2430.3201615000003</v>
      </c>
    </row>
    <row r="60" spans="1:24" s="147" customFormat="1" x14ac:dyDescent="0.2">
      <c r="A60" s="77">
        <v>49</v>
      </c>
      <c r="B60" s="142" t="s">
        <v>232</v>
      </c>
      <c r="C60" s="77">
        <v>1</v>
      </c>
      <c r="D60" s="77" t="s">
        <v>328</v>
      </c>
      <c r="E60" s="113">
        <v>4.3600000000000003</v>
      </c>
      <c r="F60" s="104">
        <v>17697</v>
      </c>
      <c r="G60" s="76">
        <v>1.75</v>
      </c>
      <c r="H60" s="104">
        <f t="shared" si="0"/>
        <v>135028.11000000002</v>
      </c>
      <c r="I60" s="104"/>
      <c r="J60" s="104">
        <f t="shared" si="1"/>
        <v>135028.11000000002</v>
      </c>
      <c r="K60" s="104">
        <f t="shared" si="2"/>
        <v>13502.811000000002</v>
      </c>
      <c r="L60" s="104"/>
      <c r="M60" s="153"/>
      <c r="N60" s="153"/>
      <c r="O60" s="105"/>
      <c r="P60" s="153"/>
      <c r="Q60" s="105"/>
      <c r="R60" s="105"/>
      <c r="S60" s="105"/>
      <c r="T60" s="105"/>
      <c r="U60" s="105"/>
      <c r="V60" s="105"/>
      <c r="W60" s="105">
        <f t="shared" si="3"/>
        <v>148530.92100000003</v>
      </c>
      <c r="X60" s="105">
        <f t="shared" si="4"/>
        <v>1782.3710520000004</v>
      </c>
    </row>
    <row r="61" spans="1:24" s="147" customFormat="1" x14ac:dyDescent="0.2">
      <c r="A61" s="77">
        <v>50</v>
      </c>
      <c r="B61" s="142" t="s">
        <v>232</v>
      </c>
      <c r="C61" s="77">
        <v>1</v>
      </c>
      <c r="D61" s="77" t="s">
        <v>327</v>
      </c>
      <c r="E61" s="113">
        <v>4.3</v>
      </c>
      <c r="F61" s="104">
        <v>17697</v>
      </c>
      <c r="G61" s="76">
        <v>1.75</v>
      </c>
      <c r="H61" s="104">
        <f t="shared" si="0"/>
        <v>133169.92499999999</v>
      </c>
      <c r="I61" s="104"/>
      <c r="J61" s="104">
        <f t="shared" si="1"/>
        <v>133169.92499999999</v>
      </c>
      <c r="K61" s="104">
        <f t="shared" si="2"/>
        <v>13316.9925</v>
      </c>
      <c r="L61" s="104"/>
      <c r="M61" s="153"/>
      <c r="N61" s="153"/>
      <c r="O61" s="105"/>
      <c r="P61" s="153"/>
      <c r="Q61" s="105"/>
      <c r="R61" s="105"/>
      <c r="S61" s="105">
        <f>H61*35%</f>
        <v>46609.47374999999</v>
      </c>
      <c r="T61" s="105"/>
      <c r="U61" s="105"/>
      <c r="V61" s="105"/>
      <c r="W61" s="105">
        <f t="shared" si="3"/>
        <v>193096.39124999999</v>
      </c>
      <c r="X61" s="105">
        <f t="shared" si="4"/>
        <v>2317.1566949999997</v>
      </c>
    </row>
    <row r="62" spans="1:24" s="147" customFormat="1" x14ac:dyDescent="0.2">
      <c r="A62" s="77">
        <v>51</v>
      </c>
      <c r="B62" s="142" t="s">
        <v>232</v>
      </c>
      <c r="C62" s="77">
        <v>1</v>
      </c>
      <c r="D62" s="77" t="s">
        <v>328</v>
      </c>
      <c r="E62" s="113">
        <v>4.28</v>
      </c>
      <c r="F62" s="104">
        <v>17697</v>
      </c>
      <c r="G62" s="76">
        <v>1.75</v>
      </c>
      <c r="H62" s="104">
        <f t="shared" si="0"/>
        <v>132550.53</v>
      </c>
      <c r="I62" s="104"/>
      <c r="J62" s="104">
        <f t="shared" si="1"/>
        <v>132550.53</v>
      </c>
      <c r="K62" s="104">
        <f t="shared" si="2"/>
        <v>13255.053</v>
      </c>
      <c r="L62" s="104"/>
      <c r="M62" s="153"/>
      <c r="N62" s="153"/>
      <c r="O62" s="105"/>
      <c r="P62" s="153"/>
      <c r="Q62" s="105"/>
      <c r="R62" s="105"/>
      <c r="S62" s="105"/>
      <c r="T62" s="105"/>
      <c r="U62" s="105"/>
      <c r="V62" s="105"/>
      <c r="W62" s="105">
        <f t="shared" si="3"/>
        <v>145805.58299999998</v>
      </c>
      <c r="X62" s="105">
        <f t="shared" si="4"/>
        <v>1749.6669959999997</v>
      </c>
    </row>
    <row r="63" spans="1:24" s="147" customFormat="1" x14ac:dyDescent="0.2">
      <c r="A63" s="77">
        <v>52</v>
      </c>
      <c r="B63" s="142" t="s">
        <v>232</v>
      </c>
      <c r="C63" s="77">
        <v>1</v>
      </c>
      <c r="D63" s="77" t="s">
        <v>328</v>
      </c>
      <c r="E63" s="113">
        <v>4.28</v>
      </c>
      <c r="F63" s="104">
        <v>17697</v>
      </c>
      <c r="G63" s="76">
        <v>1.75</v>
      </c>
      <c r="H63" s="104">
        <f t="shared" si="0"/>
        <v>132550.53</v>
      </c>
      <c r="I63" s="104"/>
      <c r="J63" s="104">
        <f t="shared" si="1"/>
        <v>132550.53</v>
      </c>
      <c r="K63" s="104">
        <f t="shared" si="2"/>
        <v>13255.053</v>
      </c>
      <c r="L63" s="104"/>
      <c r="M63" s="153"/>
      <c r="N63" s="153"/>
      <c r="O63" s="105"/>
      <c r="P63" s="153"/>
      <c r="Q63" s="105"/>
      <c r="R63" s="105"/>
      <c r="S63" s="105"/>
      <c r="T63" s="105"/>
      <c r="U63" s="105"/>
      <c r="V63" s="105"/>
      <c r="W63" s="105">
        <f t="shared" si="3"/>
        <v>145805.58299999998</v>
      </c>
      <c r="X63" s="105">
        <f t="shared" si="4"/>
        <v>1749.6669959999997</v>
      </c>
    </row>
    <row r="64" spans="1:24" s="147" customFormat="1" x14ac:dyDescent="0.2">
      <c r="A64" s="77">
        <v>53</v>
      </c>
      <c r="B64" s="142" t="s">
        <v>232</v>
      </c>
      <c r="C64" s="77">
        <v>1</v>
      </c>
      <c r="D64" s="77" t="s">
        <v>329</v>
      </c>
      <c r="E64" s="113">
        <v>4</v>
      </c>
      <c r="F64" s="104">
        <v>17697</v>
      </c>
      <c r="G64" s="76">
        <v>1.75</v>
      </c>
      <c r="H64" s="104">
        <f t="shared" si="0"/>
        <v>123879</v>
      </c>
      <c r="I64" s="104"/>
      <c r="J64" s="104">
        <f t="shared" si="1"/>
        <v>123879</v>
      </c>
      <c r="K64" s="104">
        <f t="shared" si="2"/>
        <v>12387.900000000001</v>
      </c>
      <c r="L64" s="104"/>
      <c r="M64" s="153"/>
      <c r="N64" s="153"/>
      <c r="O64" s="105"/>
      <c r="P64" s="153"/>
      <c r="Q64" s="105"/>
      <c r="R64" s="105"/>
      <c r="S64" s="105"/>
      <c r="T64" s="105"/>
      <c r="U64" s="105"/>
      <c r="V64" s="105"/>
      <c r="W64" s="105">
        <f t="shared" si="3"/>
        <v>136266.9</v>
      </c>
      <c r="X64" s="105">
        <f t="shared" si="4"/>
        <v>1635.2027999999998</v>
      </c>
    </row>
    <row r="65" spans="1:24" s="147" customFormat="1" x14ac:dyDescent="0.2">
      <c r="A65" s="77">
        <v>54</v>
      </c>
      <c r="B65" s="142" t="s">
        <v>232</v>
      </c>
      <c r="C65" s="77">
        <v>1</v>
      </c>
      <c r="D65" s="77" t="s">
        <v>327</v>
      </c>
      <c r="E65" s="113">
        <v>4.3</v>
      </c>
      <c r="F65" s="104">
        <v>17697</v>
      </c>
      <c r="G65" s="76">
        <v>1.75</v>
      </c>
      <c r="H65" s="104">
        <f t="shared" si="0"/>
        <v>133169.92499999999</v>
      </c>
      <c r="I65" s="104"/>
      <c r="J65" s="104">
        <f t="shared" si="1"/>
        <v>133169.92499999999</v>
      </c>
      <c r="K65" s="104">
        <f t="shared" si="2"/>
        <v>13316.9925</v>
      </c>
      <c r="L65" s="104"/>
      <c r="M65" s="153"/>
      <c r="N65" s="153"/>
      <c r="O65" s="105"/>
      <c r="P65" s="153"/>
      <c r="Q65" s="105"/>
      <c r="R65" s="105"/>
      <c r="S65" s="105">
        <f>H65*35%</f>
        <v>46609.47374999999</v>
      </c>
      <c r="T65" s="105"/>
      <c r="U65" s="105"/>
      <c r="V65" s="105"/>
      <c r="W65" s="105">
        <f t="shared" si="3"/>
        <v>193096.39124999999</v>
      </c>
      <c r="X65" s="105">
        <f t="shared" si="4"/>
        <v>2317.1566949999997</v>
      </c>
    </row>
    <row r="66" spans="1:24" s="147" customFormat="1" x14ac:dyDescent="0.2">
      <c r="A66" s="77">
        <v>55</v>
      </c>
      <c r="B66" s="142" t="s">
        <v>232</v>
      </c>
      <c r="C66" s="77">
        <v>1</v>
      </c>
      <c r="D66" s="77" t="s">
        <v>329</v>
      </c>
      <c r="E66" s="113">
        <v>4</v>
      </c>
      <c r="F66" s="104">
        <v>17697</v>
      </c>
      <c r="G66" s="76">
        <v>1.75</v>
      </c>
      <c r="H66" s="104">
        <f t="shared" si="0"/>
        <v>123879</v>
      </c>
      <c r="I66" s="104"/>
      <c r="J66" s="104">
        <f t="shared" si="1"/>
        <v>123879</v>
      </c>
      <c r="K66" s="104">
        <f t="shared" si="2"/>
        <v>12387.900000000001</v>
      </c>
      <c r="L66" s="104"/>
      <c r="M66" s="153"/>
      <c r="N66" s="153"/>
      <c r="O66" s="105"/>
      <c r="P66" s="153"/>
      <c r="Q66" s="105"/>
      <c r="R66" s="105"/>
      <c r="S66" s="105"/>
      <c r="T66" s="105"/>
      <c r="U66" s="105"/>
      <c r="V66" s="105"/>
      <c r="W66" s="105">
        <f t="shared" si="3"/>
        <v>136266.9</v>
      </c>
      <c r="X66" s="105">
        <f t="shared" si="4"/>
        <v>1635.2027999999998</v>
      </c>
    </row>
    <row r="67" spans="1:24" s="147" customFormat="1" x14ac:dyDescent="0.2">
      <c r="A67" s="77">
        <v>56</v>
      </c>
      <c r="B67" s="142" t="s">
        <v>232</v>
      </c>
      <c r="C67" s="77">
        <v>1</v>
      </c>
      <c r="D67" s="77" t="s">
        <v>327</v>
      </c>
      <c r="E67" s="113">
        <v>4.2300000000000004</v>
      </c>
      <c r="F67" s="104">
        <v>17697</v>
      </c>
      <c r="G67" s="76">
        <v>1.75</v>
      </c>
      <c r="H67" s="104">
        <f t="shared" si="0"/>
        <v>131002.04250000003</v>
      </c>
      <c r="I67" s="104"/>
      <c r="J67" s="104">
        <f t="shared" si="1"/>
        <v>131002.04250000003</v>
      </c>
      <c r="K67" s="104">
        <f t="shared" si="2"/>
        <v>13100.204250000003</v>
      </c>
      <c r="L67" s="104"/>
      <c r="M67" s="153"/>
      <c r="N67" s="153"/>
      <c r="O67" s="105"/>
      <c r="P67" s="153"/>
      <c r="Q67" s="105"/>
      <c r="R67" s="105"/>
      <c r="S67" s="105">
        <f>H67*35%</f>
        <v>45850.714875000005</v>
      </c>
      <c r="T67" s="105"/>
      <c r="U67" s="105"/>
      <c r="V67" s="105"/>
      <c r="W67" s="105">
        <f t="shared" si="3"/>
        <v>189952.96162500003</v>
      </c>
      <c r="X67" s="105">
        <f t="shared" si="4"/>
        <v>2279.4355395000002</v>
      </c>
    </row>
    <row r="68" spans="1:24" s="147" customFormat="1" x14ac:dyDescent="0.2">
      <c r="A68" s="77">
        <v>57</v>
      </c>
      <c r="B68" s="142" t="s">
        <v>232</v>
      </c>
      <c r="C68" s="77">
        <v>1</v>
      </c>
      <c r="D68" s="77" t="s">
        <v>328</v>
      </c>
      <c r="E68" s="113">
        <v>4.21</v>
      </c>
      <c r="F68" s="104">
        <v>17697</v>
      </c>
      <c r="G68" s="76">
        <v>1.75</v>
      </c>
      <c r="H68" s="104">
        <f t="shared" si="0"/>
        <v>130382.64749999999</v>
      </c>
      <c r="I68" s="104"/>
      <c r="J68" s="104">
        <f t="shared" si="1"/>
        <v>130382.64749999999</v>
      </c>
      <c r="K68" s="104">
        <f t="shared" si="2"/>
        <v>13038.26475</v>
      </c>
      <c r="L68" s="104"/>
      <c r="M68" s="153"/>
      <c r="N68" s="153"/>
      <c r="O68" s="105"/>
      <c r="P68" s="153"/>
      <c r="Q68" s="105"/>
      <c r="R68" s="105"/>
      <c r="S68" s="105"/>
      <c r="T68" s="105"/>
      <c r="U68" s="105"/>
      <c r="V68" s="105"/>
      <c r="W68" s="105">
        <f t="shared" si="3"/>
        <v>143420.91224999999</v>
      </c>
      <c r="X68" s="105">
        <f t="shared" si="4"/>
        <v>1721.050947</v>
      </c>
    </row>
    <row r="69" spans="1:24" s="147" customFormat="1" x14ac:dyDescent="0.2">
      <c r="A69" s="77">
        <v>58</v>
      </c>
      <c r="B69" s="142" t="s">
        <v>232</v>
      </c>
      <c r="C69" s="77">
        <v>1</v>
      </c>
      <c r="D69" s="77" t="s">
        <v>326</v>
      </c>
      <c r="E69" s="113">
        <v>4.49</v>
      </c>
      <c r="F69" s="104">
        <v>17697</v>
      </c>
      <c r="G69" s="76">
        <v>1.75</v>
      </c>
      <c r="H69" s="104">
        <f t="shared" si="0"/>
        <v>139054.17749999999</v>
      </c>
      <c r="I69" s="104"/>
      <c r="J69" s="104">
        <f t="shared" si="1"/>
        <v>139054.17749999999</v>
      </c>
      <c r="K69" s="104">
        <f t="shared" si="2"/>
        <v>13905.417750000001</v>
      </c>
      <c r="L69" s="104"/>
      <c r="M69" s="153"/>
      <c r="N69" s="153"/>
      <c r="O69" s="105"/>
      <c r="P69" s="153"/>
      <c r="Q69" s="105"/>
      <c r="R69" s="105"/>
      <c r="S69" s="105"/>
      <c r="T69" s="105">
        <f>J69*40%</f>
        <v>55621.671000000002</v>
      </c>
      <c r="U69" s="105"/>
      <c r="V69" s="105"/>
      <c r="W69" s="105">
        <f t="shared" si="3"/>
        <v>208581.26624999999</v>
      </c>
      <c r="X69" s="105">
        <f t="shared" si="4"/>
        <v>2502.975195</v>
      </c>
    </row>
    <row r="70" spans="1:24" s="147" customFormat="1" x14ac:dyDescent="0.2">
      <c r="A70" s="77">
        <v>59</v>
      </c>
      <c r="B70" s="142" t="s">
        <v>232</v>
      </c>
      <c r="C70" s="77">
        <v>1</v>
      </c>
      <c r="D70" s="77" t="s">
        <v>327</v>
      </c>
      <c r="E70" s="113">
        <v>4.2300000000000004</v>
      </c>
      <c r="F70" s="104">
        <v>17697</v>
      </c>
      <c r="G70" s="76">
        <v>1.75</v>
      </c>
      <c r="H70" s="104">
        <f t="shared" si="0"/>
        <v>131002.04250000003</v>
      </c>
      <c r="I70" s="104"/>
      <c r="J70" s="104">
        <f t="shared" si="1"/>
        <v>131002.04250000003</v>
      </c>
      <c r="K70" s="104">
        <f t="shared" si="2"/>
        <v>13100.204250000003</v>
      </c>
      <c r="L70" s="104"/>
      <c r="M70" s="153"/>
      <c r="N70" s="153"/>
      <c r="O70" s="105"/>
      <c r="P70" s="153"/>
      <c r="Q70" s="105"/>
      <c r="R70" s="105"/>
      <c r="S70" s="105">
        <f>H70*35%</f>
        <v>45850.714875000005</v>
      </c>
      <c r="T70" s="105"/>
      <c r="U70" s="105"/>
      <c r="V70" s="105"/>
      <c r="W70" s="105">
        <f t="shared" si="3"/>
        <v>189952.96162500003</v>
      </c>
      <c r="X70" s="105">
        <f t="shared" si="4"/>
        <v>2279.4355395000002</v>
      </c>
    </row>
    <row r="71" spans="1:24" s="147" customFormat="1" x14ac:dyDescent="0.2">
      <c r="A71" s="77">
        <v>60</v>
      </c>
      <c r="B71" s="142" t="s">
        <v>232</v>
      </c>
      <c r="C71" s="77">
        <v>1</v>
      </c>
      <c r="D71" s="77" t="s">
        <v>327</v>
      </c>
      <c r="E71" s="113">
        <v>4.16</v>
      </c>
      <c r="F71" s="104">
        <v>17697</v>
      </c>
      <c r="G71" s="76">
        <v>1.75</v>
      </c>
      <c r="H71" s="104">
        <f t="shared" si="0"/>
        <v>128834.16</v>
      </c>
      <c r="I71" s="104"/>
      <c r="J71" s="104">
        <f t="shared" si="1"/>
        <v>128834.16</v>
      </c>
      <c r="K71" s="104">
        <f t="shared" si="2"/>
        <v>12883.416000000001</v>
      </c>
      <c r="L71" s="104"/>
      <c r="M71" s="153"/>
      <c r="N71" s="153"/>
      <c r="O71" s="105"/>
      <c r="P71" s="153"/>
      <c r="Q71" s="105"/>
      <c r="R71" s="105"/>
      <c r="S71" s="105">
        <f>H71*35%</f>
        <v>45091.955999999998</v>
      </c>
      <c r="T71" s="105"/>
      <c r="U71" s="105"/>
      <c r="V71" s="105"/>
      <c r="W71" s="105">
        <f t="shared" si="3"/>
        <v>186809.53200000001</v>
      </c>
      <c r="X71" s="105">
        <f t="shared" si="4"/>
        <v>2241.7143839999999</v>
      </c>
    </row>
    <row r="72" spans="1:24" s="147" customFormat="1" x14ac:dyDescent="0.2">
      <c r="A72" s="77">
        <v>61</v>
      </c>
      <c r="B72" s="142" t="s">
        <v>232</v>
      </c>
      <c r="C72" s="77">
        <v>1</v>
      </c>
      <c r="D72" s="77" t="s">
        <v>327</v>
      </c>
      <c r="E72" s="113">
        <v>4.3</v>
      </c>
      <c r="F72" s="104">
        <v>17697</v>
      </c>
      <c r="G72" s="76">
        <v>1.75</v>
      </c>
      <c r="H72" s="104">
        <f t="shared" si="0"/>
        <v>133169.92499999999</v>
      </c>
      <c r="I72" s="104"/>
      <c r="J72" s="104">
        <f t="shared" si="1"/>
        <v>133169.92499999999</v>
      </c>
      <c r="K72" s="104">
        <f t="shared" si="2"/>
        <v>13316.9925</v>
      </c>
      <c r="L72" s="104"/>
      <c r="M72" s="153"/>
      <c r="N72" s="153"/>
      <c r="O72" s="105"/>
      <c r="P72" s="153"/>
      <c r="Q72" s="105"/>
      <c r="R72" s="105"/>
      <c r="S72" s="105">
        <f>H72*35%</f>
        <v>46609.47374999999</v>
      </c>
      <c r="T72" s="105"/>
      <c r="U72" s="105"/>
      <c r="V72" s="105"/>
      <c r="W72" s="105">
        <f t="shared" si="3"/>
        <v>193096.39124999999</v>
      </c>
      <c r="X72" s="105">
        <f t="shared" si="4"/>
        <v>2317.1566949999997</v>
      </c>
    </row>
    <row r="73" spans="1:24" s="147" customFormat="1" x14ac:dyDescent="0.2">
      <c r="A73" s="77">
        <v>62</v>
      </c>
      <c r="B73" s="142" t="s">
        <v>232</v>
      </c>
      <c r="C73" s="77">
        <v>1</v>
      </c>
      <c r="D73" s="77" t="s">
        <v>327</v>
      </c>
      <c r="E73" s="113">
        <v>4.2300000000000004</v>
      </c>
      <c r="F73" s="104">
        <v>17697</v>
      </c>
      <c r="G73" s="76">
        <v>1.75</v>
      </c>
      <c r="H73" s="104">
        <f t="shared" si="0"/>
        <v>131002.04250000003</v>
      </c>
      <c r="I73" s="104"/>
      <c r="J73" s="104">
        <f t="shared" si="1"/>
        <v>131002.04250000003</v>
      </c>
      <c r="K73" s="104">
        <f t="shared" si="2"/>
        <v>13100.204250000003</v>
      </c>
      <c r="L73" s="104"/>
      <c r="M73" s="153"/>
      <c r="N73" s="153"/>
      <c r="O73" s="105"/>
      <c r="P73" s="153"/>
      <c r="Q73" s="105"/>
      <c r="R73" s="105"/>
      <c r="S73" s="105">
        <f>H73*35%</f>
        <v>45850.714875000005</v>
      </c>
      <c r="T73" s="105"/>
      <c r="U73" s="105"/>
      <c r="V73" s="105"/>
      <c r="W73" s="105">
        <f t="shared" si="3"/>
        <v>189952.96162500003</v>
      </c>
      <c r="X73" s="105">
        <f t="shared" si="4"/>
        <v>2279.4355395000002</v>
      </c>
    </row>
    <row r="74" spans="1:24" s="147" customFormat="1" x14ac:dyDescent="0.2">
      <c r="A74" s="77">
        <v>63</v>
      </c>
      <c r="B74" s="142" t="s">
        <v>232</v>
      </c>
      <c r="C74" s="77">
        <v>1</v>
      </c>
      <c r="D74" s="77" t="s">
        <v>330</v>
      </c>
      <c r="E74" s="115">
        <v>4.28</v>
      </c>
      <c r="F74" s="104">
        <v>17697</v>
      </c>
      <c r="G74" s="76">
        <v>1.75</v>
      </c>
      <c r="H74" s="104">
        <f t="shared" si="0"/>
        <v>132550.53</v>
      </c>
      <c r="I74" s="104"/>
      <c r="J74" s="104">
        <f t="shared" si="1"/>
        <v>132550.53</v>
      </c>
      <c r="K74" s="104">
        <f t="shared" si="2"/>
        <v>13255.053</v>
      </c>
      <c r="L74" s="104"/>
      <c r="M74" s="153"/>
      <c r="N74" s="153"/>
      <c r="O74" s="105"/>
      <c r="P74" s="153"/>
      <c r="Q74" s="105"/>
      <c r="R74" s="105">
        <f>H74*30%</f>
        <v>39765.159</v>
      </c>
      <c r="S74" s="105"/>
      <c r="T74" s="105"/>
      <c r="U74" s="105"/>
      <c r="V74" s="105"/>
      <c r="W74" s="105">
        <f t="shared" si="3"/>
        <v>185570.74199999997</v>
      </c>
      <c r="X74" s="105">
        <f t="shared" si="4"/>
        <v>2226.8489039999995</v>
      </c>
    </row>
    <row r="75" spans="1:24" s="147" customFormat="1" x14ac:dyDescent="0.2">
      <c r="A75" s="77">
        <v>64</v>
      </c>
      <c r="B75" s="142" t="s">
        <v>260</v>
      </c>
      <c r="C75" s="77">
        <v>1</v>
      </c>
      <c r="D75" s="77" t="s">
        <v>14</v>
      </c>
      <c r="E75" s="113">
        <v>3.25</v>
      </c>
      <c r="F75" s="104">
        <v>17697</v>
      </c>
      <c r="G75" s="76">
        <v>1.23</v>
      </c>
      <c r="H75" s="104">
        <f t="shared" si="0"/>
        <v>70743.757499999992</v>
      </c>
      <c r="I75" s="104"/>
      <c r="J75" s="104">
        <f t="shared" si="1"/>
        <v>70743.757499999992</v>
      </c>
      <c r="K75" s="104">
        <f t="shared" si="2"/>
        <v>7074.3757499999992</v>
      </c>
      <c r="L75" s="104"/>
      <c r="M75" s="153"/>
      <c r="N75" s="153"/>
      <c r="O75" s="105">
        <f>J75/20.42/2</f>
        <v>1732.2173726738488</v>
      </c>
      <c r="P75" s="105">
        <f>J75/20.42/8*243.33/2/4</f>
        <v>13171.889165397739</v>
      </c>
      <c r="Q75" s="105"/>
      <c r="R75" s="105"/>
      <c r="S75" s="105"/>
      <c r="T75" s="105"/>
      <c r="U75" s="105"/>
      <c r="V75" s="105"/>
      <c r="W75" s="105">
        <f t="shared" si="3"/>
        <v>92722.239788071573</v>
      </c>
      <c r="X75" s="105">
        <f t="shared" si="4"/>
        <v>1112.6668774568589</v>
      </c>
    </row>
    <row r="76" spans="1:24" s="147" customFormat="1" x14ac:dyDescent="0.2">
      <c r="A76" s="77">
        <v>65</v>
      </c>
      <c r="B76" s="142" t="s">
        <v>260</v>
      </c>
      <c r="C76" s="77">
        <v>1</v>
      </c>
      <c r="D76" s="77" t="s">
        <v>14</v>
      </c>
      <c r="E76" s="113">
        <v>3.25</v>
      </c>
      <c r="F76" s="104">
        <v>17697</v>
      </c>
      <c r="G76" s="76">
        <v>1.23</v>
      </c>
      <c r="H76" s="104">
        <f t="shared" ref="H76:H130" si="5">(E76*17697*C76)*G76</f>
        <v>70743.757499999992</v>
      </c>
      <c r="I76" s="104"/>
      <c r="J76" s="104">
        <f t="shared" si="1"/>
        <v>70743.757499999992</v>
      </c>
      <c r="K76" s="104">
        <f t="shared" si="2"/>
        <v>7074.3757499999992</v>
      </c>
      <c r="L76" s="104"/>
      <c r="M76" s="153"/>
      <c r="N76" s="153"/>
      <c r="O76" s="105">
        <f t="shared" ref="O76:O86" si="6">J76/20.42/2</f>
        <v>1732.2173726738488</v>
      </c>
      <c r="P76" s="105">
        <f t="shared" ref="P76:P86" si="7">J76/20.42/8*243.33/2/4</f>
        <v>13171.889165397739</v>
      </c>
      <c r="Q76" s="105"/>
      <c r="R76" s="105"/>
      <c r="S76" s="105"/>
      <c r="T76" s="105"/>
      <c r="U76" s="105"/>
      <c r="V76" s="105"/>
      <c r="W76" s="105">
        <f t="shared" si="3"/>
        <v>92722.239788071573</v>
      </c>
      <c r="X76" s="105">
        <f t="shared" si="4"/>
        <v>1112.6668774568589</v>
      </c>
    </row>
    <row r="77" spans="1:24" s="147" customFormat="1" x14ac:dyDescent="0.2">
      <c r="A77" s="77">
        <v>66</v>
      </c>
      <c r="B77" s="142" t="s">
        <v>260</v>
      </c>
      <c r="C77" s="77">
        <v>1</v>
      </c>
      <c r="D77" s="77" t="s">
        <v>14</v>
      </c>
      <c r="E77" s="113">
        <v>3.22</v>
      </c>
      <c r="F77" s="104">
        <v>17697</v>
      </c>
      <c r="G77" s="76">
        <v>1.23</v>
      </c>
      <c r="H77" s="104">
        <f t="shared" si="5"/>
        <v>70090.738200000007</v>
      </c>
      <c r="I77" s="104"/>
      <c r="J77" s="104">
        <f t="shared" ref="J77:J130" si="8">H77+I77</f>
        <v>70090.738200000007</v>
      </c>
      <c r="K77" s="104">
        <f t="shared" ref="K77:K130" si="9">J77*10%</f>
        <v>7009.0738200000014</v>
      </c>
      <c r="L77" s="104"/>
      <c r="M77" s="153"/>
      <c r="N77" s="153"/>
      <c r="O77" s="105">
        <f t="shared" si="6"/>
        <v>1716.2276738491676</v>
      </c>
      <c r="P77" s="105">
        <f t="shared" si="7"/>
        <v>13050.302496178687</v>
      </c>
      <c r="Q77" s="105"/>
      <c r="R77" s="105"/>
      <c r="S77" s="105"/>
      <c r="T77" s="105"/>
      <c r="U77" s="105"/>
      <c r="V77" s="105"/>
      <c r="W77" s="105">
        <f t="shared" ref="W77:W130" si="10">SUM(J77:V77)</f>
        <v>91866.342190027863</v>
      </c>
      <c r="X77" s="105">
        <f t="shared" ref="X77:X132" si="11">W77*12/1000</f>
        <v>1102.3961062803344</v>
      </c>
    </row>
    <row r="78" spans="1:24" s="147" customFormat="1" x14ac:dyDescent="0.2">
      <c r="A78" s="77">
        <v>67</v>
      </c>
      <c r="B78" s="142" t="s">
        <v>260</v>
      </c>
      <c r="C78" s="77">
        <v>1</v>
      </c>
      <c r="D78" s="77" t="s">
        <v>14</v>
      </c>
      <c r="E78" s="113">
        <v>3.22</v>
      </c>
      <c r="F78" s="104">
        <v>17697</v>
      </c>
      <c r="G78" s="76">
        <v>1.23</v>
      </c>
      <c r="H78" s="104">
        <f t="shared" si="5"/>
        <v>70090.738200000007</v>
      </c>
      <c r="I78" s="104"/>
      <c r="J78" s="104">
        <f t="shared" si="8"/>
        <v>70090.738200000007</v>
      </c>
      <c r="K78" s="104">
        <f t="shared" si="9"/>
        <v>7009.0738200000014</v>
      </c>
      <c r="L78" s="104"/>
      <c r="M78" s="153"/>
      <c r="N78" s="153"/>
      <c r="O78" s="105">
        <f t="shared" si="6"/>
        <v>1716.2276738491676</v>
      </c>
      <c r="P78" s="105">
        <f t="shared" si="7"/>
        <v>13050.302496178687</v>
      </c>
      <c r="Q78" s="105"/>
      <c r="R78" s="105"/>
      <c r="S78" s="105"/>
      <c r="T78" s="105"/>
      <c r="U78" s="105"/>
      <c r="V78" s="105"/>
      <c r="W78" s="105">
        <f t="shared" si="10"/>
        <v>91866.342190027863</v>
      </c>
      <c r="X78" s="105">
        <f t="shared" si="11"/>
        <v>1102.3961062803344</v>
      </c>
    </row>
    <row r="79" spans="1:24" s="147" customFormat="1" x14ac:dyDescent="0.2">
      <c r="A79" s="77">
        <v>68</v>
      </c>
      <c r="B79" s="142" t="s">
        <v>260</v>
      </c>
      <c r="C79" s="77">
        <v>1</v>
      </c>
      <c r="D79" s="77" t="s">
        <v>14</v>
      </c>
      <c r="E79" s="113">
        <v>3.19</v>
      </c>
      <c r="F79" s="104">
        <v>17697</v>
      </c>
      <c r="G79" s="76">
        <v>1.23</v>
      </c>
      <c r="H79" s="104">
        <f t="shared" si="5"/>
        <v>69437.718899999993</v>
      </c>
      <c r="I79" s="104"/>
      <c r="J79" s="104">
        <f t="shared" si="8"/>
        <v>69437.718899999993</v>
      </c>
      <c r="K79" s="104">
        <f t="shared" si="9"/>
        <v>6943.77189</v>
      </c>
      <c r="L79" s="104"/>
      <c r="M79" s="153"/>
      <c r="N79" s="153"/>
      <c r="O79" s="105">
        <f t="shared" si="6"/>
        <v>1700.2379750244854</v>
      </c>
      <c r="P79" s="105">
        <f t="shared" si="7"/>
        <v>12928.715826959628</v>
      </c>
      <c r="Q79" s="105"/>
      <c r="R79" s="105"/>
      <c r="S79" s="105"/>
      <c r="T79" s="105"/>
      <c r="U79" s="105"/>
      <c r="V79" s="105"/>
      <c r="W79" s="105">
        <f t="shared" si="10"/>
        <v>91010.444591984109</v>
      </c>
      <c r="X79" s="105">
        <f t="shared" si="11"/>
        <v>1092.1253351038094</v>
      </c>
    </row>
    <row r="80" spans="1:24" s="147" customFormat="1" x14ac:dyDescent="0.2">
      <c r="A80" s="77">
        <v>69</v>
      </c>
      <c r="B80" s="142" t="s">
        <v>260</v>
      </c>
      <c r="C80" s="77">
        <v>1</v>
      </c>
      <c r="D80" s="77" t="s">
        <v>14</v>
      </c>
      <c r="E80" s="113">
        <v>3.22</v>
      </c>
      <c r="F80" s="104">
        <v>17697</v>
      </c>
      <c r="G80" s="76">
        <v>1.23</v>
      </c>
      <c r="H80" s="104">
        <f t="shared" si="5"/>
        <v>70090.738200000007</v>
      </c>
      <c r="I80" s="104"/>
      <c r="J80" s="104">
        <f t="shared" si="8"/>
        <v>70090.738200000007</v>
      </c>
      <c r="K80" s="104">
        <f t="shared" si="9"/>
        <v>7009.0738200000014</v>
      </c>
      <c r="L80" s="104"/>
      <c r="M80" s="153"/>
      <c r="N80" s="153"/>
      <c r="O80" s="105">
        <f t="shared" si="6"/>
        <v>1716.2276738491676</v>
      </c>
      <c r="P80" s="105">
        <f t="shared" si="7"/>
        <v>13050.302496178687</v>
      </c>
      <c r="Q80" s="105"/>
      <c r="R80" s="105"/>
      <c r="S80" s="105"/>
      <c r="T80" s="105"/>
      <c r="U80" s="105"/>
      <c r="V80" s="105"/>
      <c r="W80" s="105">
        <f t="shared" si="10"/>
        <v>91866.342190027863</v>
      </c>
      <c r="X80" s="105">
        <f t="shared" si="11"/>
        <v>1102.3961062803344</v>
      </c>
    </row>
    <row r="81" spans="1:24" s="147" customFormat="1" x14ac:dyDescent="0.2">
      <c r="A81" s="77">
        <v>70</v>
      </c>
      <c r="B81" s="142" t="s">
        <v>260</v>
      </c>
      <c r="C81" s="77">
        <v>1</v>
      </c>
      <c r="D81" s="77" t="s">
        <v>14</v>
      </c>
      <c r="E81" s="113">
        <v>3.19</v>
      </c>
      <c r="F81" s="104">
        <v>17697</v>
      </c>
      <c r="G81" s="76">
        <v>1.23</v>
      </c>
      <c r="H81" s="104">
        <f t="shared" si="5"/>
        <v>69437.718899999993</v>
      </c>
      <c r="I81" s="104"/>
      <c r="J81" s="104">
        <f t="shared" si="8"/>
        <v>69437.718899999993</v>
      </c>
      <c r="K81" s="104">
        <f t="shared" si="9"/>
        <v>6943.77189</v>
      </c>
      <c r="L81" s="104"/>
      <c r="M81" s="153"/>
      <c r="N81" s="153"/>
      <c r="O81" s="105">
        <f t="shared" si="6"/>
        <v>1700.2379750244854</v>
      </c>
      <c r="P81" s="105">
        <f t="shared" si="7"/>
        <v>12928.715826959628</v>
      </c>
      <c r="Q81" s="105"/>
      <c r="R81" s="105"/>
      <c r="S81" s="105"/>
      <c r="T81" s="105"/>
      <c r="U81" s="105"/>
      <c r="V81" s="105"/>
      <c r="W81" s="105">
        <f t="shared" si="10"/>
        <v>91010.444591984109</v>
      </c>
      <c r="X81" s="105">
        <f t="shared" si="11"/>
        <v>1092.1253351038094</v>
      </c>
    </row>
    <row r="82" spans="1:24" s="147" customFormat="1" x14ac:dyDescent="0.2">
      <c r="A82" s="77">
        <v>71</v>
      </c>
      <c r="B82" s="142" t="s">
        <v>260</v>
      </c>
      <c r="C82" s="77">
        <v>1</v>
      </c>
      <c r="D82" s="77" t="s">
        <v>14</v>
      </c>
      <c r="E82" s="113">
        <v>3.19</v>
      </c>
      <c r="F82" s="104">
        <v>17697</v>
      </c>
      <c r="G82" s="76">
        <v>1.23</v>
      </c>
      <c r="H82" s="104">
        <f t="shared" si="5"/>
        <v>69437.718899999993</v>
      </c>
      <c r="I82" s="104"/>
      <c r="J82" s="104">
        <f t="shared" si="8"/>
        <v>69437.718899999993</v>
      </c>
      <c r="K82" s="104">
        <f t="shared" si="9"/>
        <v>6943.77189</v>
      </c>
      <c r="L82" s="104"/>
      <c r="M82" s="153"/>
      <c r="N82" s="153"/>
      <c r="O82" s="105">
        <f t="shared" si="6"/>
        <v>1700.2379750244854</v>
      </c>
      <c r="P82" s="105">
        <f t="shared" si="7"/>
        <v>12928.715826959628</v>
      </c>
      <c r="Q82" s="105"/>
      <c r="R82" s="105"/>
      <c r="S82" s="105"/>
      <c r="T82" s="105"/>
      <c r="U82" s="105"/>
      <c r="V82" s="105"/>
      <c r="W82" s="105">
        <f t="shared" si="10"/>
        <v>91010.444591984109</v>
      </c>
      <c r="X82" s="105">
        <f t="shared" si="11"/>
        <v>1092.1253351038094</v>
      </c>
    </row>
    <row r="83" spans="1:24" s="147" customFormat="1" x14ac:dyDescent="0.2">
      <c r="A83" s="77">
        <v>72</v>
      </c>
      <c r="B83" s="142" t="s">
        <v>260</v>
      </c>
      <c r="C83" s="77">
        <v>1</v>
      </c>
      <c r="D83" s="77" t="s">
        <v>14</v>
      </c>
      <c r="E83" s="113">
        <v>3.16</v>
      </c>
      <c r="F83" s="104">
        <v>17697</v>
      </c>
      <c r="G83" s="76">
        <v>1.23</v>
      </c>
      <c r="H83" s="104">
        <f t="shared" si="5"/>
        <v>68784.699600000007</v>
      </c>
      <c r="I83" s="104"/>
      <c r="J83" s="104">
        <f t="shared" si="8"/>
        <v>68784.699600000007</v>
      </c>
      <c r="K83" s="104">
        <f t="shared" si="9"/>
        <v>6878.4699600000013</v>
      </c>
      <c r="L83" s="104"/>
      <c r="M83" s="153"/>
      <c r="N83" s="153"/>
      <c r="O83" s="105">
        <f t="shared" si="6"/>
        <v>1684.2482761998042</v>
      </c>
      <c r="P83" s="105">
        <f t="shared" si="7"/>
        <v>12807.129157740574</v>
      </c>
      <c r="Q83" s="105"/>
      <c r="R83" s="105"/>
      <c r="S83" s="105"/>
      <c r="T83" s="105"/>
      <c r="U83" s="105"/>
      <c r="V83" s="105"/>
      <c r="W83" s="105">
        <f t="shared" si="10"/>
        <v>90154.546993940399</v>
      </c>
      <c r="X83" s="105">
        <f t="shared" si="11"/>
        <v>1081.854563927285</v>
      </c>
    </row>
    <row r="84" spans="1:24" s="147" customFormat="1" x14ac:dyDescent="0.2">
      <c r="A84" s="77">
        <v>73</v>
      </c>
      <c r="B84" s="142" t="s">
        <v>260</v>
      </c>
      <c r="C84" s="77">
        <v>1</v>
      </c>
      <c r="D84" s="77" t="s">
        <v>14</v>
      </c>
      <c r="E84" s="113">
        <v>3.29</v>
      </c>
      <c r="F84" s="104">
        <v>17697</v>
      </c>
      <c r="G84" s="76">
        <v>1.23</v>
      </c>
      <c r="H84" s="104">
        <f t="shared" si="5"/>
        <v>71614.449899999992</v>
      </c>
      <c r="I84" s="104"/>
      <c r="J84" s="104">
        <f t="shared" si="8"/>
        <v>71614.449899999992</v>
      </c>
      <c r="K84" s="104">
        <f t="shared" si="9"/>
        <v>7161.44499</v>
      </c>
      <c r="L84" s="104"/>
      <c r="M84" s="153"/>
      <c r="N84" s="153"/>
      <c r="O84" s="105">
        <f t="shared" si="6"/>
        <v>1753.5369711067578</v>
      </c>
      <c r="P84" s="105">
        <f t="shared" si="7"/>
        <v>13334.004724356482</v>
      </c>
      <c r="Q84" s="105"/>
      <c r="R84" s="105"/>
      <c r="S84" s="105"/>
      <c r="T84" s="105"/>
      <c r="U84" s="105"/>
      <c r="V84" s="105"/>
      <c r="W84" s="105">
        <f t="shared" si="10"/>
        <v>93863.436585463234</v>
      </c>
      <c r="X84" s="105">
        <f t="shared" si="11"/>
        <v>1126.3612390255589</v>
      </c>
    </row>
    <row r="85" spans="1:24" s="147" customFormat="1" x14ac:dyDescent="0.2">
      <c r="A85" s="77">
        <v>74</v>
      </c>
      <c r="B85" s="142" t="s">
        <v>260</v>
      </c>
      <c r="C85" s="77">
        <v>1</v>
      </c>
      <c r="D85" s="77" t="s">
        <v>14</v>
      </c>
      <c r="E85" s="113">
        <v>3.12</v>
      </c>
      <c r="F85" s="104">
        <v>17697</v>
      </c>
      <c r="G85" s="76">
        <v>1.23</v>
      </c>
      <c r="H85" s="104">
        <f t="shared" si="5"/>
        <v>67914.007199999993</v>
      </c>
      <c r="I85" s="104"/>
      <c r="J85" s="104">
        <f t="shared" si="8"/>
        <v>67914.007199999993</v>
      </c>
      <c r="K85" s="104">
        <f t="shared" si="9"/>
        <v>6791.4007199999996</v>
      </c>
      <c r="L85" s="104"/>
      <c r="M85" s="153"/>
      <c r="N85" s="153"/>
      <c r="O85" s="105">
        <f t="shared" si="6"/>
        <v>1662.9286777668949</v>
      </c>
      <c r="P85" s="105">
        <f t="shared" si="7"/>
        <v>12645.01359878183</v>
      </c>
      <c r="Q85" s="105"/>
      <c r="R85" s="105"/>
      <c r="S85" s="105"/>
      <c r="T85" s="105"/>
      <c r="U85" s="105"/>
      <c r="V85" s="105"/>
      <c r="W85" s="105">
        <f t="shared" si="10"/>
        <v>89013.350196548723</v>
      </c>
      <c r="X85" s="105">
        <f t="shared" si="11"/>
        <v>1068.1602023585847</v>
      </c>
    </row>
    <row r="86" spans="1:24" s="147" customFormat="1" x14ac:dyDescent="0.2">
      <c r="A86" s="77">
        <v>75</v>
      </c>
      <c r="B86" s="142" t="s">
        <v>260</v>
      </c>
      <c r="C86" s="77">
        <v>1</v>
      </c>
      <c r="D86" s="77" t="s">
        <v>14</v>
      </c>
      <c r="E86" s="113">
        <v>3.29</v>
      </c>
      <c r="F86" s="104">
        <v>17697</v>
      </c>
      <c r="G86" s="76">
        <v>1.23</v>
      </c>
      <c r="H86" s="104">
        <f t="shared" si="5"/>
        <v>71614.449899999992</v>
      </c>
      <c r="I86" s="104"/>
      <c r="J86" s="104">
        <f t="shared" si="8"/>
        <v>71614.449899999992</v>
      </c>
      <c r="K86" s="104">
        <f t="shared" si="9"/>
        <v>7161.44499</v>
      </c>
      <c r="L86" s="104"/>
      <c r="M86" s="153"/>
      <c r="N86" s="153"/>
      <c r="O86" s="105">
        <f t="shared" si="6"/>
        <v>1753.5369711067578</v>
      </c>
      <c r="P86" s="105">
        <f t="shared" si="7"/>
        <v>13334.004724356482</v>
      </c>
      <c r="Q86" s="105"/>
      <c r="R86" s="105"/>
      <c r="S86" s="105"/>
      <c r="T86" s="105"/>
      <c r="U86" s="105"/>
      <c r="V86" s="105"/>
      <c r="W86" s="105">
        <f t="shared" si="10"/>
        <v>93863.436585463234</v>
      </c>
      <c r="X86" s="105">
        <f t="shared" si="11"/>
        <v>1126.3612390255589</v>
      </c>
    </row>
    <row r="87" spans="1:24" s="147" customFormat="1" x14ac:dyDescent="0.2">
      <c r="A87" s="77">
        <v>76</v>
      </c>
      <c r="B87" s="142" t="s">
        <v>7</v>
      </c>
      <c r="C87" s="77">
        <v>1</v>
      </c>
      <c r="D87" s="77" t="s">
        <v>14</v>
      </c>
      <c r="E87" s="113">
        <v>3.16</v>
      </c>
      <c r="F87" s="104">
        <v>17697</v>
      </c>
      <c r="G87" s="76">
        <v>1.23</v>
      </c>
      <c r="H87" s="104">
        <f t="shared" si="5"/>
        <v>68784.699600000007</v>
      </c>
      <c r="I87" s="104"/>
      <c r="J87" s="104">
        <f t="shared" si="8"/>
        <v>68784.699600000007</v>
      </c>
      <c r="K87" s="104">
        <f t="shared" si="9"/>
        <v>6878.4699600000013</v>
      </c>
      <c r="L87" s="104"/>
      <c r="M87" s="153"/>
      <c r="N87" s="153"/>
      <c r="O87" s="105"/>
      <c r="P87" s="153"/>
      <c r="Q87" s="105"/>
      <c r="R87" s="105"/>
      <c r="S87" s="105"/>
      <c r="T87" s="105"/>
      <c r="U87" s="105"/>
      <c r="V87" s="105"/>
      <c r="W87" s="105">
        <f t="shared" si="10"/>
        <v>75663.169560000009</v>
      </c>
      <c r="X87" s="105">
        <f t="shared" si="11"/>
        <v>907.95803472000011</v>
      </c>
    </row>
    <row r="88" spans="1:24" s="147" customFormat="1" x14ac:dyDescent="0.2">
      <c r="A88" s="77">
        <v>77</v>
      </c>
      <c r="B88" s="142" t="s">
        <v>273</v>
      </c>
      <c r="C88" s="77">
        <v>0.5</v>
      </c>
      <c r="D88" s="77" t="s">
        <v>14</v>
      </c>
      <c r="E88" s="113">
        <v>3.16</v>
      </c>
      <c r="F88" s="104">
        <v>17697</v>
      </c>
      <c r="G88" s="76">
        <v>1.23</v>
      </c>
      <c r="H88" s="104">
        <f t="shared" si="5"/>
        <v>34392.349800000004</v>
      </c>
      <c r="I88" s="104"/>
      <c r="J88" s="104">
        <f t="shared" si="8"/>
        <v>34392.349800000004</v>
      </c>
      <c r="K88" s="104">
        <f t="shared" si="9"/>
        <v>3439.2349800000006</v>
      </c>
      <c r="L88" s="104"/>
      <c r="M88" s="105">
        <f>SUM(C88*F88*0.2)</f>
        <v>1769.7</v>
      </c>
      <c r="N88" s="153"/>
      <c r="O88" s="105"/>
      <c r="P88" s="153"/>
      <c r="Q88" s="105"/>
      <c r="R88" s="105"/>
      <c r="S88" s="105"/>
      <c r="T88" s="105"/>
      <c r="U88" s="105"/>
      <c r="V88" s="105"/>
      <c r="W88" s="105">
        <f t="shared" si="10"/>
        <v>39601.284780000002</v>
      </c>
      <c r="X88" s="105">
        <f t="shared" si="11"/>
        <v>475.21541736</v>
      </c>
    </row>
    <row r="89" spans="1:24" s="147" customFormat="1" ht="22.5" customHeight="1" x14ac:dyDescent="0.2">
      <c r="A89" s="77">
        <v>78</v>
      </c>
      <c r="B89" s="142" t="s">
        <v>273</v>
      </c>
      <c r="C89" s="77">
        <v>0.5</v>
      </c>
      <c r="D89" s="77" t="s">
        <v>14</v>
      </c>
      <c r="E89" s="113">
        <v>2.94</v>
      </c>
      <c r="F89" s="104">
        <v>17697</v>
      </c>
      <c r="G89" s="76">
        <v>1.23</v>
      </c>
      <c r="H89" s="104">
        <f t="shared" si="5"/>
        <v>31997.9457</v>
      </c>
      <c r="I89" s="104"/>
      <c r="J89" s="104">
        <f t="shared" si="8"/>
        <v>31997.9457</v>
      </c>
      <c r="K89" s="104">
        <f t="shared" si="9"/>
        <v>3199.79457</v>
      </c>
      <c r="L89" s="104"/>
      <c r="M89" s="105">
        <f>SUM(C89*F89*0.2)</f>
        <v>1769.7</v>
      </c>
      <c r="N89" s="153"/>
      <c r="O89" s="105"/>
      <c r="P89" s="153"/>
      <c r="Q89" s="105"/>
      <c r="R89" s="105"/>
      <c r="S89" s="105"/>
      <c r="T89" s="105"/>
      <c r="U89" s="105"/>
      <c r="V89" s="105"/>
      <c r="W89" s="105">
        <f t="shared" si="10"/>
        <v>36967.440269999999</v>
      </c>
      <c r="X89" s="105">
        <f t="shared" si="11"/>
        <v>443.60928324000002</v>
      </c>
    </row>
    <row r="90" spans="1:24" s="147" customFormat="1" x14ac:dyDescent="0.2">
      <c r="A90" s="77">
        <v>79</v>
      </c>
      <c r="B90" s="142" t="s">
        <v>276</v>
      </c>
      <c r="C90" s="77">
        <v>1</v>
      </c>
      <c r="D90" s="77" t="s">
        <v>14</v>
      </c>
      <c r="E90" s="113">
        <v>2.94</v>
      </c>
      <c r="F90" s="104">
        <v>17697</v>
      </c>
      <c r="G90" s="76">
        <v>1.23</v>
      </c>
      <c r="H90" s="104">
        <f t="shared" si="5"/>
        <v>63995.8914</v>
      </c>
      <c r="I90" s="104"/>
      <c r="J90" s="104">
        <f t="shared" si="8"/>
        <v>63995.8914</v>
      </c>
      <c r="K90" s="104">
        <f t="shared" si="9"/>
        <v>6399.58914</v>
      </c>
      <c r="L90" s="104"/>
      <c r="M90" s="153"/>
      <c r="N90" s="153"/>
      <c r="O90" s="105"/>
      <c r="P90" s="153"/>
      <c r="Q90" s="105"/>
      <c r="R90" s="105"/>
      <c r="S90" s="105"/>
      <c r="T90" s="105"/>
      <c r="U90" s="105"/>
      <c r="V90" s="105"/>
      <c r="W90" s="105">
        <f t="shared" si="10"/>
        <v>70395.480540000004</v>
      </c>
      <c r="X90" s="105">
        <f t="shared" si="11"/>
        <v>844.74576648000004</v>
      </c>
    </row>
    <row r="91" spans="1:24" s="147" customFormat="1" x14ac:dyDescent="0.2">
      <c r="A91" s="77">
        <v>80</v>
      </c>
      <c r="B91" s="142" t="s">
        <v>317</v>
      </c>
      <c r="C91" s="77">
        <v>1</v>
      </c>
      <c r="D91" s="77" t="s">
        <v>14</v>
      </c>
      <c r="E91" s="113">
        <v>2.94</v>
      </c>
      <c r="F91" s="104">
        <v>17697</v>
      </c>
      <c r="G91" s="76">
        <v>1.23</v>
      </c>
      <c r="H91" s="104">
        <f t="shared" si="5"/>
        <v>63995.8914</v>
      </c>
      <c r="I91" s="104"/>
      <c r="J91" s="104">
        <f>H91+I91</f>
        <v>63995.8914</v>
      </c>
      <c r="K91" s="104">
        <f>J91*10%</f>
        <v>6399.58914</v>
      </c>
      <c r="L91" s="104"/>
      <c r="M91" s="153"/>
      <c r="N91" s="153"/>
      <c r="O91" s="105"/>
      <c r="P91" s="153"/>
      <c r="Q91" s="105"/>
      <c r="R91" s="105"/>
      <c r="S91" s="105"/>
      <c r="T91" s="105"/>
      <c r="U91" s="105"/>
      <c r="V91" s="105"/>
      <c r="W91" s="105">
        <f t="shared" si="10"/>
        <v>70395.480540000004</v>
      </c>
      <c r="X91" s="105">
        <f t="shared" si="11"/>
        <v>844.74576648000004</v>
      </c>
    </row>
    <row r="92" spans="1:24" s="147" customFormat="1" x14ac:dyDescent="0.2">
      <c r="A92" s="77">
        <v>81</v>
      </c>
      <c r="B92" s="142" t="s">
        <v>278</v>
      </c>
      <c r="C92" s="103">
        <v>1</v>
      </c>
      <c r="D92" s="103">
        <v>5</v>
      </c>
      <c r="E92" s="157">
        <v>2.92</v>
      </c>
      <c r="F92" s="104">
        <v>17697</v>
      </c>
      <c r="G92" s="205">
        <v>1.23</v>
      </c>
      <c r="H92" s="104">
        <f t="shared" si="5"/>
        <v>63560.545199999993</v>
      </c>
      <c r="I92" s="104"/>
      <c r="J92" s="104">
        <f t="shared" si="8"/>
        <v>63560.545199999993</v>
      </c>
      <c r="K92" s="104">
        <f t="shared" si="9"/>
        <v>6356.0545199999997</v>
      </c>
      <c r="L92" s="104"/>
      <c r="M92" s="105">
        <f>17697*30%</f>
        <v>5309.0999999999995</v>
      </c>
      <c r="N92" s="153"/>
      <c r="O92" s="105"/>
      <c r="P92" s="153"/>
      <c r="Q92" s="105"/>
      <c r="R92" s="105"/>
      <c r="S92" s="105"/>
      <c r="T92" s="105"/>
      <c r="U92" s="105"/>
      <c r="V92" s="105"/>
      <c r="W92" s="105">
        <f t="shared" si="10"/>
        <v>75225.699720000004</v>
      </c>
      <c r="X92" s="105">
        <f t="shared" si="11"/>
        <v>902.70839664000005</v>
      </c>
    </row>
    <row r="93" spans="1:24" s="147" customFormat="1" x14ac:dyDescent="0.2">
      <c r="A93" s="77">
        <v>82</v>
      </c>
      <c r="B93" s="142" t="s">
        <v>280</v>
      </c>
      <c r="C93" s="77">
        <v>1</v>
      </c>
      <c r="D93" s="77">
        <v>5</v>
      </c>
      <c r="E93" s="113">
        <v>2.92</v>
      </c>
      <c r="F93" s="104">
        <v>17697</v>
      </c>
      <c r="G93" s="76">
        <v>1.23</v>
      </c>
      <c r="H93" s="104">
        <f t="shared" si="5"/>
        <v>63560.545199999993</v>
      </c>
      <c r="I93" s="104"/>
      <c r="J93" s="104">
        <f t="shared" si="8"/>
        <v>63560.545199999993</v>
      </c>
      <c r="K93" s="104">
        <f t="shared" si="9"/>
        <v>6356.0545199999997</v>
      </c>
      <c r="L93" s="104"/>
      <c r="M93" s="153"/>
      <c r="N93" s="153"/>
      <c r="O93" s="105"/>
      <c r="P93" s="153"/>
      <c r="Q93" s="105"/>
      <c r="R93" s="105"/>
      <c r="S93" s="105"/>
      <c r="T93" s="105"/>
      <c r="U93" s="105"/>
      <c r="V93" s="105"/>
      <c r="W93" s="105">
        <f t="shared" si="10"/>
        <v>69916.599719999998</v>
      </c>
      <c r="X93" s="105">
        <f t="shared" si="11"/>
        <v>838.99919664000004</v>
      </c>
    </row>
    <row r="94" spans="1:24" s="147" customFormat="1" x14ac:dyDescent="0.2">
      <c r="A94" s="77">
        <v>83</v>
      </c>
      <c r="B94" s="142" t="s">
        <v>282</v>
      </c>
      <c r="C94" s="77">
        <v>1</v>
      </c>
      <c r="D94" s="77">
        <v>2</v>
      </c>
      <c r="E94" s="113">
        <v>2.81</v>
      </c>
      <c r="F94" s="104">
        <v>17697</v>
      </c>
      <c r="G94" s="76">
        <v>1.23</v>
      </c>
      <c r="H94" s="104">
        <f t="shared" si="5"/>
        <v>61166.141100000001</v>
      </c>
      <c r="I94" s="104"/>
      <c r="J94" s="104">
        <f t="shared" si="8"/>
        <v>61166.141100000001</v>
      </c>
      <c r="K94" s="104">
        <f t="shared" si="9"/>
        <v>6116.6141100000004</v>
      </c>
      <c r="L94" s="104"/>
      <c r="M94" s="153"/>
      <c r="N94" s="153"/>
      <c r="O94" s="105"/>
      <c r="P94" s="153"/>
      <c r="Q94" s="105"/>
      <c r="R94" s="105"/>
      <c r="S94" s="105"/>
      <c r="T94" s="105"/>
      <c r="U94" s="105"/>
      <c r="V94" s="105"/>
      <c r="W94" s="105">
        <f t="shared" si="10"/>
        <v>67282.755210000003</v>
      </c>
      <c r="X94" s="105">
        <f t="shared" si="11"/>
        <v>807.39306252000006</v>
      </c>
    </row>
    <row r="95" spans="1:24" s="147" customFormat="1" x14ac:dyDescent="0.2">
      <c r="A95" s="77">
        <v>84</v>
      </c>
      <c r="B95" s="142" t="s">
        <v>8</v>
      </c>
      <c r="C95" s="77">
        <v>1</v>
      </c>
      <c r="D95" s="77">
        <v>5</v>
      </c>
      <c r="E95" s="113">
        <v>2.92</v>
      </c>
      <c r="F95" s="104">
        <v>17697</v>
      </c>
      <c r="G95" s="76">
        <v>1.23</v>
      </c>
      <c r="H95" s="104">
        <f t="shared" si="5"/>
        <v>63560.545199999993</v>
      </c>
      <c r="I95" s="104"/>
      <c r="J95" s="104">
        <f t="shared" si="8"/>
        <v>63560.545199999993</v>
      </c>
      <c r="K95" s="104">
        <f t="shared" si="9"/>
        <v>6356.0545199999997</v>
      </c>
      <c r="L95" s="104"/>
      <c r="M95" s="153"/>
      <c r="N95" s="153"/>
      <c r="O95" s="105"/>
      <c r="P95" s="153"/>
      <c r="Q95" s="105"/>
      <c r="R95" s="105"/>
      <c r="S95" s="105"/>
      <c r="T95" s="105"/>
      <c r="U95" s="105"/>
      <c r="V95" s="105"/>
      <c r="W95" s="105">
        <f t="shared" si="10"/>
        <v>69916.599719999998</v>
      </c>
      <c r="X95" s="105">
        <f t="shared" si="11"/>
        <v>838.99919664000004</v>
      </c>
    </row>
    <row r="96" spans="1:24" s="147" customFormat="1" ht="25.5" x14ac:dyDescent="0.2">
      <c r="A96" s="77">
        <v>85</v>
      </c>
      <c r="B96" s="142" t="s">
        <v>283</v>
      </c>
      <c r="C96" s="77">
        <v>1.5</v>
      </c>
      <c r="D96" s="77">
        <v>2</v>
      </c>
      <c r="E96" s="113">
        <v>2.81</v>
      </c>
      <c r="F96" s="104">
        <v>17697</v>
      </c>
      <c r="G96" s="76">
        <v>1.23</v>
      </c>
      <c r="H96" s="104">
        <f t="shared" si="5"/>
        <v>91749.211649999997</v>
      </c>
      <c r="I96" s="104"/>
      <c r="J96" s="104">
        <f t="shared" si="8"/>
        <v>91749.211649999997</v>
      </c>
      <c r="K96" s="104">
        <f t="shared" si="9"/>
        <v>9174.9211649999997</v>
      </c>
      <c r="L96" s="104"/>
      <c r="M96" s="153">
        <f t="shared" ref="M96:M109" si="12">F96*30%*C96</f>
        <v>7963.65</v>
      </c>
      <c r="N96" s="153"/>
      <c r="O96" s="105"/>
      <c r="P96" s="153"/>
      <c r="Q96" s="105"/>
      <c r="R96" s="105"/>
      <c r="S96" s="105"/>
      <c r="T96" s="105"/>
      <c r="U96" s="105"/>
      <c r="V96" s="105"/>
      <c r="W96" s="105">
        <f t="shared" si="10"/>
        <v>108887.78281499998</v>
      </c>
      <c r="X96" s="105">
        <f t="shared" si="11"/>
        <v>1306.6533937799998</v>
      </c>
    </row>
    <row r="97" spans="1:24" s="147" customFormat="1" ht="25.5" x14ac:dyDescent="0.2">
      <c r="A97" s="77">
        <v>86</v>
      </c>
      <c r="B97" s="142" t="s">
        <v>283</v>
      </c>
      <c r="C97" s="77">
        <v>1.5</v>
      </c>
      <c r="D97" s="77">
        <v>2</v>
      </c>
      <c r="E97" s="116">
        <v>2.81</v>
      </c>
      <c r="F97" s="104">
        <v>17697</v>
      </c>
      <c r="G97" s="76">
        <v>1.23</v>
      </c>
      <c r="H97" s="104">
        <f t="shared" si="5"/>
        <v>91749.211649999997</v>
      </c>
      <c r="I97" s="104"/>
      <c r="J97" s="104">
        <f t="shared" si="8"/>
        <v>91749.211649999997</v>
      </c>
      <c r="K97" s="104">
        <f t="shared" si="9"/>
        <v>9174.9211649999997</v>
      </c>
      <c r="L97" s="104"/>
      <c r="M97" s="153">
        <f t="shared" si="12"/>
        <v>7963.65</v>
      </c>
      <c r="N97" s="153"/>
      <c r="O97" s="105"/>
      <c r="P97" s="153"/>
      <c r="Q97" s="105"/>
      <c r="R97" s="105"/>
      <c r="S97" s="105"/>
      <c r="T97" s="105"/>
      <c r="U97" s="105"/>
      <c r="V97" s="105"/>
      <c r="W97" s="105">
        <f t="shared" si="10"/>
        <v>108887.78281499998</v>
      </c>
      <c r="X97" s="105">
        <f t="shared" si="11"/>
        <v>1306.6533937799998</v>
      </c>
    </row>
    <row r="98" spans="1:24" s="147" customFormat="1" ht="25.5" x14ac:dyDescent="0.2">
      <c r="A98" s="77">
        <v>87</v>
      </c>
      <c r="B98" s="142" t="s">
        <v>283</v>
      </c>
      <c r="C98" s="77">
        <v>1.5</v>
      </c>
      <c r="D98" s="77">
        <v>2</v>
      </c>
      <c r="E98" s="113">
        <v>2.81</v>
      </c>
      <c r="F98" s="104">
        <v>17697</v>
      </c>
      <c r="G98" s="76">
        <v>1.23</v>
      </c>
      <c r="H98" s="104">
        <f t="shared" si="5"/>
        <v>91749.211649999997</v>
      </c>
      <c r="I98" s="104"/>
      <c r="J98" s="104">
        <f t="shared" si="8"/>
        <v>91749.211649999997</v>
      </c>
      <c r="K98" s="104">
        <f t="shared" si="9"/>
        <v>9174.9211649999997</v>
      </c>
      <c r="L98" s="104"/>
      <c r="M98" s="153">
        <f t="shared" si="12"/>
        <v>7963.65</v>
      </c>
      <c r="N98" s="153"/>
      <c r="O98" s="105"/>
      <c r="P98" s="153"/>
      <c r="Q98" s="105"/>
      <c r="R98" s="105"/>
      <c r="S98" s="105"/>
      <c r="T98" s="105"/>
      <c r="U98" s="105"/>
      <c r="V98" s="105"/>
      <c r="W98" s="105">
        <f t="shared" si="10"/>
        <v>108887.78281499998</v>
      </c>
      <c r="X98" s="105">
        <f t="shared" si="11"/>
        <v>1306.6533937799998</v>
      </c>
    </row>
    <row r="99" spans="1:24" s="147" customFormat="1" ht="25.5" x14ac:dyDescent="0.2">
      <c r="A99" s="77">
        <v>88</v>
      </c>
      <c r="B99" s="142" t="s">
        <v>283</v>
      </c>
      <c r="C99" s="77">
        <v>1.5</v>
      </c>
      <c r="D99" s="77">
        <v>2</v>
      </c>
      <c r="E99" s="113">
        <v>2.81</v>
      </c>
      <c r="F99" s="104">
        <v>17697</v>
      </c>
      <c r="G99" s="76">
        <v>1.23</v>
      </c>
      <c r="H99" s="104">
        <f t="shared" si="5"/>
        <v>91749.211649999997</v>
      </c>
      <c r="I99" s="104"/>
      <c r="J99" s="104">
        <f t="shared" si="8"/>
        <v>91749.211649999997</v>
      </c>
      <c r="K99" s="104">
        <f t="shared" si="9"/>
        <v>9174.9211649999997</v>
      </c>
      <c r="L99" s="104"/>
      <c r="M99" s="153">
        <f t="shared" si="12"/>
        <v>7963.65</v>
      </c>
      <c r="N99" s="153"/>
      <c r="O99" s="105"/>
      <c r="P99" s="153"/>
      <c r="Q99" s="105"/>
      <c r="R99" s="105"/>
      <c r="S99" s="105"/>
      <c r="T99" s="105"/>
      <c r="U99" s="105"/>
      <c r="V99" s="105"/>
      <c r="W99" s="105">
        <f t="shared" si="10"/>
        <v>108887.78281499998</v>
      </c>
      <c r="X99" s="105">
        <f t="shared" si="11"/>
        <v>1306.6533937799998</v>
      </c>
    </row>
    <row r="100" spans="1:24" s="147" customFormat="1" ht="25.5" x14ac:dyDescent="0.2">
      <c r="A100" s="77">
        <v>89</v>
      </c>
      <c r="B100" s="142" t="s">
        <v>283</v>
      </c>
      <c r="C100" s="77">
        <v>1.5</v>
      </c>
      <c r="D100" s="77">
        <v>2</v>
      </c>
      <c r="E100" s="113">
        <v>2.81</v>
      </c>
      <c r="F100" s="104">
        <v>17697</v>
      </c>
      <c r="G100" s="76">
        <v>1.23</v>
      </c>
      <c r="H100" s="104">
        <f t="shared" si="5"/>
        <v>91749.211649999997</v>
      </c>
      <c r="I100" s="104"/>
      <c r="J100" s="104">
        <f t="shared" si="8"/>
        <v>91749.211649999997</v>
      </c>
      <c r="K100" s="104">
        <f t="shared" si="9"/>
        <v>9174.9211649999997</v>
      </c>
      <c r="L100" s="104"/>
      <c r="M100" s="153">
        <f t="shared" si="12"/>
        <v>7963.65</v>
      </c>
      <c r="N100" s="153"/>
      <c r="O100" s="105"/>
      <c r="P100" s="153"/>
      <c r="Q100" s="105"/>
      <c r="R100" s="105"/>
      <c r="S100" s="105"/>
      <c r="T100" s="105"/>
      <c r="U100" s="105"/>
      <c r="V100" s="105"/>
      <c r="W100" s="105">
        <f t="shared" si="10"/>
        <v>108887.78281499998</v>
      </c>
      <c r="X100" s="105">
        <f t="shared" si="11"/>
        <v>1306.6533937799998</v>
      </c>
    </row>
    <row r="101" spans="1:24" s="147" customFormat="1" ht="25.5" x14ac:dyDescent="0.2">
      <c r="A101" s="77">
        <v>90</v>
      </c>
      <c r="B101" s="142" t="s">
        <v>283</v>
      </c>
      <c r="C101" s="77">
        <v>1.5</v>
      </c>
      <c r="D101" s="77">
        <v>2</v>
      </c>
      <c r="E101" s="113">
        <v>2.81</v>
      </c>
      <c r="F101" s="104">
        <v>17697</v>
      </c>
      <c r="G101" s="76">
        <v>1.23</v>
      </c>
      <c r="H101" s="104">
        <f t="shared" si="5"/>
        <v>91749.211649999997</v>
      </c>
      <c r="I101" s="104"/>
      <c r="J101" s="104">
        <f t="shared" si="8"/>
        <v>91749.211649999997</v>
      </c>
      <c r="K101" s="104">
        <f t="shared" si="9"/>
        <v>9174.9211649999997</v>
      </c>
      <c r="L101" s="104"/>
      <c r="M101" s="153">
        <f t="shared" si="12"/>
        <v>7963.65</v>
      </c>
      <c r="N101" s="153"/>
      <c r="O101" s="105"/>
      <c r="P101" s="153"/>
      <c r="Q101" s="105"/>
      <c r="R101" s="105"/>
      <c r="S101" s="105"/>
      <c r="T101" s="105"/>
      <c r="U101" s="105"/>
      <c r="V101" s="105"/>
      <c r="W101" s="105">
        <f t="shared" si="10"/>
        <v>108887.78281499998</v>
      </c>
      <c r="X101" s="105">
        <f t="shared" si="11"/>
        <v>1306.6533937799998</v>
      </c>
    </row>
    <row r="102" spans="1:24" s="147" customFormat="1" ht="25.5" x14ac:dyDescent="0.2">
      <c r="A102" s="77">
        <v>91</v>
      </c>
      <c r="B102" s="142" t="s">
        <v>283</v>
      </c>
      <c r="C102" s="77">
        <v>1.5</v>
      </c>
      <c r="D102" s="77">
        <v>2</v>
      </c>
      <c r="E102" s="113">
        <v>2.81</v>
      </c>
      <c r="F102" s="104">
        <v>17697</v>
      </c>
      <c r="G102" s="76">
        <v>1.23</v>
      </c>
      <c r="H102" s="104">
        <f t="shared" si="5"/>
        <v>91749.211649999997</v>
      </c>
      <c r="I102" s="104"/>
      <c r="J102" s="104">
        <f t="shared" si="8"/>
        <v>91749.211649999997</v>
      </c>
      <c r="K102" s="104">
        <f t="shared" si="9"/>
        <v>9174.9211649999997</v>
      </c>
      <c r="L102" s="104"/>
      <c r="M102" s="153">
        <f t="shared" si="12"/>
        <v>7963.65</v>
      </c>
      <c r="N102" s="153"/>
      <c r="O102" s="105"/>
      <c r="P102" s="153"/>
      <c r="Q102" s="105"/>
      <c r="R102" s="105"/>
      <c r="S102" s="105"/>
      <c r="T102" s="105"/>
      <c r="U102" s="105"/>
      <c r="V102" s="105"/>
      <c r="W102" s="105">
        <f t="shared" si="10"/>
        <v>108887.78281499998</v>
      </c>
      <c r="X102" s="105">
        <f t="shared" si="11"/>
        <v>1306.6533937799998</v>
      </c>
    </row>
    <row r="103" spans="1:24" s="147" customFormat="1" ht="25.5" x14ac:dyDescent="0.2">
      <c r="A103" s="77">
        <v>92</v>
      </c>
      <c r="B103" s="142" t="s">
        <v>283</v>
      </c>
      <c r="C103" s="77">
        <v>1.5</v>
      </c>
      <c r="D103" s="77">
        <v>2</v>
      </c>
      <c r="E103" s="113">
        <v>2.81</v>
      </c>
      <c r="F103" s="104">
        <v>17697</v>
      </c>
      <c r="G103" s="76">
        <v>1.23</v>
      </c>
      <c r="H103" s="104">
        <f t="shared" si="5"/>
        <v>91749.211649999997</v>
      </c>
      <c r="I103" s="104"/>
      <c r="J103" s="104">
        <f t="shared" si="8"/>
        <v>91749.211649999997</v>
      </c>
      <c r="K103" s="104">
        <f t="shared" si="9"/>
        <v>9174.9211649999997</v>
      </c>
      <c r="L103" s="104"/>
      <c r="M103" s="153">
        <f t="shared" si="12"/>
        <v>7963.65</v>
      </c>
      <c r="N103" s="153"/>
      <c r="O103" s="105"/>
      <c r="P103" s="153"/>
      <c r="Q103" s="105"/>
      <c r="R103" s="105"/>
      <c r="S103" s="105"/>
      <c r="T103" s="105"/>
      <c r="U103" s="105"/>
      <c r="V103" s="105"/>
      <c r="W103" s="105">
        <f t="shared" si="10"/>
        <v>108887.78281499998</v>
      </c>
      <c r="X103" s="105">
        <f t="shared" si="11"/>
        <v>1306.6533937799998</v>
      </c>
    </row>
    <row r="104" spans="1:24" s="147" customFormat="1" ht="25.5" x14ac:dyDescent="0.2">
      <c r="A104" s="77">
        <v>93</v>
      </c>
      <c r="B104" s="142" t="s">
        <v>283</v>
      </c>
      <c r="C104" s="77">
        <v>1</v>
      </c>
      <c r="D104" s="77">
        <v>2</v>
      </c>
      <c r="E104" s="113">
        <v>2.8140000000000001</v>
      </c>
      <c r="F104" s="104">
        <v>17697</v>
      </c>
      <c r="G104" s="76">
        <v>1.23</v>
      </c>
      <c r="H104" s="104">
        <f t="shared" si="5"/>
        <v>61253.210339999998</v>
      </c>
      <c r="I104" s="104"/>
      <c r="J104" s="104">
        <f t="shared" si="8"/>
        <v>61253.210339999998</v>
      </c>
      <c r="K104" s="104">
        <f t="shared" si="9"/>
        <v>6125.3210340000005</v>
      </c>
      <c r="L104" s="104"/>
      <c r="M104" s="153">
        <f t="shared" si="12"/>
        <v>5309.0999999999995</v>
      </c>
      <c r="N104" s="153"/>
      <c r="O104" s="105"/>
      <c r="P104" s="153"/>
      <c r="Q104" s="105"/>
      <c r="R104" s="105"/>
      <c r="S104" s="105"/>
      <c r="T104" s="105"/>
      <c r="U104" s="105"/>
      <c r="V104" s="105"/>
      <c r="W104" s="105">
        <f t="shared" si="10"/>
        <v>72687.631374000004</v>
      </c>
      <c r="X104" s="105">
        <f t="shared" si="11"/>
        <v>872.25157648800007</v>
      </c>
    </row>
    <row r="105" spans="1:24" s="147" customFormat="1" ht="25.5" x14ac:dyDescent="0.2">
      <c r="A105" s="77">
        <v>94</v>
      </c>
      <c r="B105" s="142" t="s">
        <v>283</v>
      </c>
      <c r="C105" s="77">
        <v>0.5</v>
      </c>
      <c r="D105" s="77">
        <v>2</v>
      </c>
      <c r="E105" s="113">
        <v>2.8140000000000001</v>
      </c>
      <c r="F105" s="104">
        <v>17697</v>
      </c>
      <c r="G105" s="76">
        <v>1.23</v>
      </c>
      <c r="H105" s="104">
        <f t="shared" si="5"/>
        <v>30626.605169999999</v>
      </c>
      <c r="I105" s="104"/>
      <c r="J105" s="104">
        <f t="shared" si="8"/>
        <v>30626.605169999999</v>
      </c>
      <c r="K105" s="104">
        <f t="shared" si="9"/>
        <v>3062.6605170000003</v>
      </c>
      <c r="L105" s="104"/>
      <c r="M105" s="153">
        <f t="shared" si="12"/>
        <v>2654.5499999999997</v>
      </c>
      <c r="N105" s="153"/>
      <c r="O105" s="105"/>
      <c r="P105" s="153"/>
      <c r="Q105" s="105"/>
      <c r="R105" s="105"/>
      <c r="S105" s="105"/>
      <c r="T105" s="105"/>
      <c r="U105" s="105"/>
      <c r="V105" s="105"/>
      <c r="W105" s="105">
        <f t="shared" si="10"/>
        <v>36343.815687000002</v>
      </c>
      <c r="X105" s="105">
        <f t="shared" si="11"/>
        <v>436.12578824400003</v>
      </c>
    </row>
    <row r="106" spans="1:24" s="147" customFormat="1" ht="25.5" x14ac:dyDescent="0.2">
      <c r="A106" s="77">
        <v>95</v>
      </c>
      <c r="B106" s="142" t="s">
        <v>283</v>
      </c>
      <c r="C106" s="77">
        <v>1.5</v>
      </c>
      <c r="D106" s="77">
        <v>2</v>
      </c>
      <c r="E106" s="113">
        <v>2.8140000000000001</v>
      </c>
      <c r="F106" s="104">
        <v>17697</v>
      </c>
      <c r="G106" s="76">
        <v>1.23</v>
      </c>
      <c r="H106" s="104">
        <f t="shared" si="5"/>
        <v>91879.81551</v>
      </c>
      <c r="I106" s="104"/>
      <c r="J106" s="104">
        <f t="shared" si="8"/>
        <v>91879.81551</v>
      </c>
      <c r="K106" s="104">
        <f t="shared" si="9"/>
        <v>9187.9815510000008</v>
      </c>
      <c r="L106" s="104"/>
      <c r="M106" s="153">
        <f t="shared" si="12"/>
        <v>7963.65</v>
      </c>
      <c r="N106" s="153"/>
      <c r="O106" s="105"/>
      <c r="P106" s="153"/>
      <c r="Q106" s="105"/>
      <c r="R106" s="105"/>
      <c r="S106" s="105"/>
      <c r="T106" s="105"/>
      <c r="U106" s="105"/>
      <c r="V106" s="105"/>
      <c r="W106" s="105">
        <f t="shared" si="10"/>
        <v>109031.447061</v>
      </c>
      <c r="X106" s="105">
        <f t="shared" si="11"/>
        <v>1308.3773647319999</v>
      </c>
    </row>
    <row r="107" spans="1:24" s="147" customFormat="1" ht="25.5" x14ac:dyDescent="0.2">
      <c r="A107" s="77">
        <v>96</v>
      </c>
      <c r="B107" s="142" t="s">
        <v>283</v>
      </c>
      <c r="C107" s="77">
        <v>1.5</v>
      </c>
      <c r="D107" s="77">
        <v>2</v>
      </c>
      <c r="E107" s="113">
        <v>2.8140000000000001</v>
      </c>
      <c r="F107" s="104">
        <v>17697</v>
      </c>
      <c r="G107" s="76">
        <v>1.23</v>
      </c>
      <c r="H107" s="104">
        <f t="shared" si="5"/>
        <v>91879.81551</v>
      </c>
      <c r="I107" s="104"/>
      <c r="J107" s="104">
        <f t="shared" si="8"/>
        <v>91879.81551</v>
      </c>
      <c r="K107" s="104">
        <f t="shared" si="9"/>
        <v>9187.9815510000008</v>
      </c>
      <c r="L107" s="104"/>
      <c r="M107" s="153">
        <f t="shared" si="12"/>
        <v>7963.65</v>
      </c>
      <c r="N107" s="153"/>
      <c r="O107" s="105"/>
      <c r="P107" s="153"/>
      <c r="Q107" s="105"/>
      <c r="R107" s="105"/>
      <c r="S107" s="105"/>
      <c r="T107" s="105"/>
      <c r="U107" s="105"/>
      <c r="V107" s="105"/>
      <c r="W107" s="105">
        <f t="shared" si="10"/>
        <v>109031.447061</v>
      </c>
      <c r="X107" s="105">
        <f t="shared" si="11"/>
        <v>1308.3773647319999</v>
      </c>
    </row>
    <row r="108" spans="1:24" s="147" customFormat="1" ht="25.5" x14ac:dyDescent="0.2">
      <c r="A108" s="77">
        <v>97</v>
      </c>
      <c r="B108" s="142" t="s">
        <v>295</v>
      </c>
      <c r="C108" s="77">
        <v>1.5</v>
      </c>
      <c r="D108" s="77">
        <v>2</v>
      </c>
      <c r="E108" s="113">
        <v>2.81</v>
      </c>
      <c r="F108" s="104">
        <v>17697</v>
      </c>
      <c r="G108" s="76">
        <v>1.23</v>
      </c>
      <c r="H108" s="104">
        <f t="shared" si="5"/>
        <v>91749.211649999997</v>
      </c>
      <c r="I108" s="104"/>
      <c r="J108" s="104">
        <f t="shared" si="8"/>
        <v>91749.211649999997</v>
      </c>
      <c r="K108" s="104">
        <f t="shared" si="9"/>
        <v>9174.9211649999997</v>
      </c>
      <c r="L108" s="104"/>
      <c r="M108" s="153">
        <f t="shared" si="12"/>
        <v>7963.65</v>
      </c>
      <c r="N108" s="153"/>
      <c r="O108" s="105"/>
      <c r="P108" s="153"/>
      <c r="Q108" s="105"/>
      <c r="R108" s="105"/>
      <c r="S108" s="105"/>
      <c r="T108" s="105"/>
      <c r="U108" s="105"/>
      <c r="V108" s="105"/>
      <c r="W108" s="105">
        <f t="shared" si="10"/>
        <v>108887.78281499998</v>
      </c>
      <c r="X108" s="105">
        <f t="shared" si="11"/>
        <v>1306.6533937799998</v>
      </c>
    </row>
    <row r="109" spans="1:24" s="147" customFormat="1" ht="24" customHeight="1" x14ac:dyDescent="0.2">
      <c r="A109" s="77">
        <v>98</v>
      </c>
      <c r="B109" s="142" t="s">
        <v>295</v>
      </c>
      <c r="C109" s="77">
        <v>0.5</v>
      </c>
      <c r="D109" s="77">
        <v>2</v>
      </c>
      <c r="E109" s="113">
        <v>2.81</v>
      </c>
      <c r="F109" s="104">
        <v>17697</v>
      </c>
      <c r="G109" s="76">
        <v>1.23</v>
      </c>
      <c r="H109" s="104">
        <f t="shared" si="5"/>
        <v>30583.07055</v>
      </c>
      <c r="I109" s="104"/>
      <c r="J109" s="104">
        <f t="shared" si="8"/>
        <v>30583.07055</v>
      </c>
      <c r="K109" s="104">
        <f t="shared" si="9"/>
        <v>3058.3070550000002</v>
      </c>
      <c r="L109" s="104"/>
      <c r="M109" s="153">
        <f t="shared" si="12"/>
        <v>2654.5499999999997</v>
      </c>
      <c r="N109" s="153"/>
      <c r="O109" s="105"/>
      <c r="P109" s="153"/>
      <c r="Q109" s="105"/>
      <c r="R109" s="105"/>
      <c r="S109" s="105"/>
      <c r="T109" s="105"/>
      <c r="U109" s="105"/>
      <c r="V109" s="105"/>
      <c r="W109" s="105">
        <f t="shared" si="10"/>
        <v>36295.927605000004</v>
      </c>
      <c r="X109" s="105">
        <f t="shared" si="11"/>
        <v>435.55113126000003</v>
      </c>
    </row>
    <row r="110" spans="1:24" s="147" customFormat="1" ht="38.25" x14ac:dyDescent="0.2">
      <c r="A110" s="77">
        <v>99</v>
      </c>
      <c r="B110" s="142" t="s">
        <v>297</v>
      </c>
      <c r="C110" s="77">
        <v>0.5</v>
      </c>
      <c r="D110" s="77">
        <v>2</v>
      </c>
      <c r="E110" s="113">
        <v>2.81</v>
      </c>
      <c r="F110" s="104">
        <v>17697</v>
      </c>
      <c r="G110" s="76">
        <v>1.23</v>
      </c>
      <c r="H110" s="104">
        <f t="shared" si="5"/>
        <v>30583.07055</v>
      </c>
      <c r="I110" s="104"/>
      <c r="J110" s="104">
        <f t="shared" si="8"/>
        <v>30583.07055</v>
      </c>
      <c r="K110" s="104">
        <f t="shared" si="9"/>
        <v>3058.3070550000002</v>
      </c>
      <c r="L110" s="104"/>
      <c r="M110" s="153"/>
      <c r="N110" s="153"/>
      <c r="O110" s="105"/>
      <c r="P110" s="153"/>
      <c r="Q110" s="105"/>
      <c r="R110" s="105"/>
      <c r="S110" s="105"/>
      <c r="T110" s="105"/>
      <c r="U110" s="105"/>
      <c r="V110" s="105"/>
      <c r="W110" s="105">
        <f t="shared" si="10"/>
        <v>33641.377605000001</v>
      </c>
      <c r="X110" s="105">
        <f t="shared" si="11"/>
        <v>403.69653126000003</v>
      </c>
    </row>
    <row r="111" spans="1:24" s="147" customFormat="1" ht="38.25" x14ac:dyDescent="0.2">
      <c r="A111" s="77">
        <v>100</v>
      </c>
      <c r="B111" s="142" t="s">
        <v>297</v>
      </c>
      <c r="C111" s="77">
        <v>1.5</v>
      </c>
      <c r="D111" s="77">
        <v>2</v>
      </c>
      <c r="E111" s="113">
        <v>2.81</v>
      </c>
      <c r="F111" s="104">
        <v>17697</v>
      </c>
      <c r="G111" s="76">
        <v>1.23</v>
      </c>
      <c r="H111" s="104">
        <f t="shared" si="5"/>
        <v>91749.211649999997</v>
      </c>
      <c r="I111" s="104"/>
      <c r="J111" s="104">
        <f t="shared" si="8"/>
        <v>91749.211649999997</v>
      </c>
      <c r="K111" s="104">
        <f t="shared" si="9"/>
        <v>9174.9211649999997</v>
      </c>
      <c r="L111" s="104"/>
      <c r="M111" s="153"/>
      <c r="N111" s="153"/>
      <c r="O111" s="105"/>
      <c r="P111" s="153"/>
      <c r="Q111" s="105"/>
      <c r="R111" s="105"/>
      <c r="S111" s="105"/>
      <c r="T111" s="105"/>
      <c r="U111" s="105"/>
      <c r="V111" s="105"/>
      <c r="W111" s="105">
        <f t="shared" si="10"/>
        <v>100924.13281499999</v>
      </c>
      <c r="X111" s="105">
        <f t="shared" si="11"/>
        <v>1211.0895937799999</v>
      </c>
    </row>
    <row r="112" spans="1:24" s="147" customFormat="1" ht="38.25" x14ac:dyDescent="0.2">
      <c r="A112" s="77">
        <v>101</v>
      </c>
      <c r="B112" s="142" t="s">
        <v>297</v>
      </c>
      <c r="C112" s="77">
        <v>1.5</v>
      </c>
      <c r="D112" s="78">
        <v>2</v>
      </c>
      <c r="E112" s="113">
        <v>2.81</v>
      </c>
      <c r="F112" s="104">
        <v>17697</v>
      </c>
      <c r="G112" s="76">
        <v>1.23</v>
      </c>
      <c r="H112" s="104">
        <f t="shared" si="5"/>
        <v>91749.211649999997</v>
      </c>
      <c r="I112" s="104"/>
      <c r="J112" s="104">
        <f t="shared" si="8"/>
        <v>91749.211649999997</v>
      </c>
      <c r="K112" s="104">
        <f t="shared" si="9"/>
        <v>9174.9211649999997</v>
      </c>
      <c r="L112" s="104"/>
      <c r="M112" s="153"/>
      <c r="N112" s="153"/>
      <c r="O112" s="105"/>
      <c r="P112" s="153"/>
      <c r="Q112" s="105"/>
      <c r="R112" s="105"/>
      <c r="S112" s="105"/>
      <c r="T112" s="105"/>
      <c r="U112" s="105"/>
      <c r="V112" s="105"/>
      <c r="W112" s="105">
        <f t="shared" si="10"/>
        <v>100924.13281499999</v>
      </c>
      <c r="X112" s="105">
        <f t="shared" si="11"/>
        <v>1211.0895937799999</v>
      </c>
    </row>
    <row r="113" spans="1:24" s="147" customFormat="1" ht="38.25" x14ac:dyDescent="0.2">
      <c r="A113" s="77">
        <v>102</v>
      </c>
      <c r="B113" s="142" t="s">
        <v>297</v>
      </c>
      <c r="C113" s="77">
        <v>0.5</v>
      </c>
      <c r="D113" s="77">
        <v>2</v>
      </c>
      <c r="E113" s="113">
        <v>2.81</v>
      </c>
      <c r="F113" s="104">
        <v>17697</v>
      </c>
      <c r="G113" s="76">
        <v>1.23</v>
      </c>
      <c r="H113" s="104">
        <f t="shared" si="5"/>
        <v>30583.07055</v>
      </c>
      <c r="I113" s="104"/>
      <c r="J113" s="104">
        <f t="shared" si="8"/>
        <v>30583.07055</v>
      </c>
      <c r="K113" s="104">
        <f t="shared" si="9"/>
        <v>3058.3070550000002</v>
      </c>
      <c r="L113" s="104"/>
      <c r="M113" s="153"/>
      <c r="N113" s="153"/>
      <c r="O113" s="105"/>
      <c r="P113" s="153"/>
      <c r="Q113" s="105"/>
      <c r="R113" s="105"/>
      <c r="S113" s="105"/>
      <c r="T113" s="105"/>
      <c r="U113" s="105"/>
      <c r="V113" s="105"/>
      <c r="W113" s="105">
        <f t="shared" si="10"/>
        <v>33641.377605000001</v>
      </c>
      <c r="X113" s="105">
        <f t="shared" si="11"/>
        <v>403.69653126000003</v>
      </c>
    </row>
    <row r="114" spans="1:24" s="147" customFormat="1" x14ac:dyDescent="0.2">
      <c r="A114" s="77">
        <v>103</v>
      </c>
      <c r="B114" s="142" t="s">
        <v>301</v>
      </c>
      <c r="C114" s="77">
        <v>1</v>
      </c>
      <c r="D114" s="77">
        <v>1</v>
      </c>
      <c r="E114" s="116">
        <v>2.77</v>
      </c>
      <c r="F114" s="104">
        <v>17697</v>
      </c>
      <c r="G114" s="76">
        <v>1.23</v>
      </c>
      <c r="H114" s="104">
        <f t="shared" si="5"/>
        <v>60295.448700000001</v>
      </c>
      <c r="I114" s="104"/>
      <c r="J114" s="104">
        <f t="shared" si="8"/>
        <v>60295.448700000001</v>
      </c>
      <c r="K114" s="104">
        <f t="shared" si="9"/>
        <v>6029.5448700000006</v>
      </c>
      <c r="L114" s="104"/>
      <c r="M114" s="153"/>
      <c r="N114" s="153"/>
      <c r="O114" s="105"/>
      <c r="P114" s="153"/>
      <c r="Q114" s="105"/>
      <c r="R114" s="105"/>
      <c r="S114" s="105"/>
      <c r="T114" s="105"/>
      <c r="U114" s="105"/>
      <c r="V114" s="105"/>
      <c r="W114" s="105">
        <f t="shared" si="10"/>
        <v>66324.993570000006</v>
      </c>
      <c r="X114" s="105">
        <f t="shared" si="11"/>
        <v>795.89992284000016</v>
      </c>
    </row>
    <row r="115" spans="1:24" s="147" customFormat="1" ht="25.5" x14ac:dyDescent="0.2">
      <c r="A115" s="77">
        <v>104</v>
      </c>
      <c r="B115" s="142" t="s">
        <v>303</v>
      </c>
      <c r="C115" s="77">
        <v>0.5</v>
      </c>
      <c r="D115" s="77">
        <v>1</v>
      </c>
      <c r="E115" s="113">
        <v>2.77</v>
      </c>
      <c r="F115" s="104">
        <v>17697</v>
      </c>
      <c r="G115" s="76">
        <v>1.23</v>
      </c>
      <c r="H115" s="104">
        <f t="shared" si="5"/>
        <v>30147.72435</v>
      </c>
      <c r="I115" s="104"/>
      <c r="J115" s="104">
        <f t="shared" si="8"/>
        <v>30147.72435</v>
      </c>
      <c r="K115" s="104">
        <f t="shared" si="9"/>
        <v>3014.7724350000003</v>
      </c>
      <c r="L115" s="104"/>
      <c r="M115" s="153">
        <f>F115*30%*C115</f>
        <v>2654.5499999999997</v>
      </c>
      <c r="N115" s="153"/>
      <c r="O115" s="105"/>
      <c r="P115" s="153"/>
      <c r="Q115" s="105"/>
      <c r="R115" s="105"/>
      <c r="S115" s="105"/>
      <c r="T115" s="105"/>
      <c r="U115" s="105"/>
      <c r="V115" s="105"/>
      <c r="W115" s="105">
        <f t="shared" si="10"/>
        <v>35817.046785000006</v>
      </c>
      <c r="X115" s="105">
        <f t="shared" si="11"/>
        <v>429.80456142000003</v>
      </c>
    </row>
    <row r="116" spans="1:24" s="147" customFormat="1" ht="25.5" x14ac:dyDescent="0.2">
      <c r="A116" s="77">
        <v>105</v>
      </c>
      <c r="B116" s="142" t="s">
        <v>303</v>
      </c>
      <c r="C116" s="103">
        <v>0.5</v>
      </c>
      <c r="D116" s="77">
        <v>1</v>
      </c>
      <c r="E116" s="113">
        <v>2.77</v>
      </c>
      <c r="F116" s="104">
        <v>17697</v>
      </c>
      <c r="G116" s="76">
        <v>1.23</v>
      </c>
      <c r="H116" s="104">
        <f t="shared" si="5"/>
        <v>30147.72435</v>
      </c>
      <c r="I116" s="104"/>
      <c r="J116" s="104">
        <f>H116+I116</f>
        <v>30147.72435</v>
      </c>
      <c r="K116" s="104">
        <f>J116*10%</f>
        <v>3014.7724350000003</v>
      </c>
      <c r="L116" s="104"/>
      <c r="M116" s="153">
        <f>F116*30%*C116</f>
        <v>2654.5499999999997</v>
      </c>
      <c r="N116" s="153"/>
      <c r="O116" s="105"/>
      <c r="P116" s="153"/>
      <c r="Q116" s="105"/>
      <c r="R116" s="105"/>
      <c r="S116" s="105"/>
      <c r="T116" s="105"/>
      <c r="U116" s="105"/>
      <c r="V116" s="105"/>
      <c r="W116" s="105">
        <f>SUM(J116:V116)</f>
        <v>35817.046785000006</v>
      </c>
      <c r="X116" s="105">
        <f>W116*12/1000</f>
        <v>429.80456142000003</v>
      </c>
    </row>
    <row r="117" spans="1:24" s="147" customFormat="1" x14ac:dyDescent="0.2">
      <c r="A117" s="77">
        <v>106</v>
      </c>
      <c r="B117" s="142" t="s">
        <v>304</v>
      </c>
      <c r="C117" s="77">
        <v>1</v>
      </c>
      <c r="D117" s="77">
        <v>1</v>
      </c>
      <c r="E117" s="113">
        <v>2.77</v>
      </c>
      <c r="F117" s="104">
        <v>17697</v>
      </c>
      <c r="G117" s="76">
        <v>1.23</v>
      </c>
      <c r="H117" s="104">
        <f t="shared" si="5"/>
        <v>60295.448700000001</v>
      </c>
      <c r="I117" s="104"/>
      <c r="J117" s="104">
        <f t="shared" si="8"/>
        <v>60295.448700000001</v>
      </c>
      <c r="K117" s="104">
        <f t="shared" si="9"/>
        <v>6029.5448700000006</v>
      </c>
      <c r="L117" s="104"/>
      <c r="M117" s="153"/>
      <c r="N117" s="153"/>
      <c r="O117" s="105"/>
      <c r="P117" s="105">
        <f t="shared" ref="P117:P122" si="13">J117/20.42/8*243.33/2/3</f>
        <v>14968.669943857125</v>
      </c>
      <c r="Q117" s="105"/>
      <c r="R117" s="105"/>
      <c r="S117" s="105"/>
      <c r="T117" s="105"/>
      <c r="U117" s="105"/>
      <c r="V117" s="105"/>
      <c r="W117" s="105">
        <f t="shared" si="10"/>
        <v>81293.663513857129</v>
      </c>
      <c r="X117" s="105">
        <f t="shared" si="11"/>
        <v>975.52396216628563</v>
      </c>
    </row>
    <row r="118" spans="1:24" s="147" customFormat="1" x14ac:dyDescent="0.2">
      <c r="A118" s="77">
        <v>107</v>
      </c>
      <c r="B118" s="142" t="s">
        <v>304</v>
      </c>
      <c r="C118" s="77">
        <v>1</v>
      </c>
      <c r="D118" s="77">
        <v>1</v>
      </c>
      <c r="E118" s="113">
        <v>2.77</v>
      </c>
      <c r="F118" s="104">
        <v>17697</v>
      </c>
      <c r="G118" s="76">
        <v>1.23</v>
      </c>
      <c r="H118" s="104">
        <f t="shared" si="5"/>
        <v>60295.448700000001</v>
      </c>
      <c r="I118" s="104"/>
      <c r="J118" s="104">
        <f t="shared" si="8"/>
        <v>60295.448700000001</v>
      </c>
      <c r="K118" s="104">
        <f t="shared" si="9"/>
        <v>6029.5448700000006</v>
      </c>
      <c r="L118" s="104"/>
      <c r="M118" s="153"/>
      <c r="N118" s="153"/>
      <c r="O118" s="105"/>
      <c r="P118" s="105">
        <f t="shared" si="13"/>
        <v>14968.669943857125</v>
      </c>
      <c r="Q118" s="105"/>
      <c r="R118" s="105"/>
      <c r="S118" s="105"/>
      <c r="T118" s="105"/>
      <c r="U118" s="105"/>
      <c r="V118" s="105"/>
      <c r="W118" s="105">
        <f t="shared" si="10"/>
        <v>81293.663513857129</v>
      </c>
      <c r="X118" s="105">
        <f t="shared" si="11"/>
        <v>975.52396216628563</v>
      </c>
    </row>
    <row r="119" spans="1:24" s="147" customFormat="1" x14ac:dyDescent="0.2">
      <c r="A119" s="77">
        <v>108</v>
      </c>
      <c r="B119" s="142" t="s">
        <v>304</v>
      </c>
      <c r="C119" s="77">
        <v>1</v>
      </c>
      <c r="D119" s="77">
        <v>1</v>
      </c>
      <c r="E119" s="113">
        <v>2.77</v>
      </c>
      <c r="F119" s="104">
        <v>17697</v>
      </c>
      <c r="G119" s="76">
        <v>1.23</v>
      </c>
      <c r="H119" s="104">
        <f t="shared" si="5"/>
        <v>60295.448700000001</v>
      </c>
      <c r="I119" s="104"/>
      <c r="J119" s="104">
        <f t="shared" si="8"/>
        <v>60295.448700000001</v>
      </c>
      <c r="K119" s="104">
        <f t="shared" si="9"/>
        <v>6029.5448700000006</v>
      </c>
      <c r="L119" s="104"/>
      <c r="M119" s="153"/>
      <c r="N119" s="153"/>
      <c r="O119" s="105"/>
      <c r="P119" s="105">
        <f t="shared" si="13"/>
        <v>14968.669943857125</v>
      </c>
      <c r="Q119" s="105"/>
      <c r="R119" s="105"/>
      <c r="S119" s="105"/>
      <c r="T119" s="105"/>
      <c r="U119" s="105"/>
      <c r="V119" s="105"/>
      <c r="W119" s="105">
        <f t="shared" si="10"/>
        <v>81293.663513857129</v>
      </c>
      <c r="X119" s="105">
        <f t="shared" si="11"/>
        <v>975.52396216628563</v>
      </c>
    </row>
    <row r="120" spans="1:24" s="147" customFormat="1" x14ac:dyDescent="0.2">
      <c r="A120" s="77">
        <v>109</v>
      </c>
      <c r="B120" s="142" t="s">
        <v>304</v>
      </c>
      <c r="C120" s="77">
        <v>1</v>
      </c>
      <c r="D120" s="77">
        <v>1</v>
      </c>
      <c r="E120" s="113">
        <v>2.77</v>
      </c>
      <c r="F120" s="104">
        <v>17697</v>
      </c>
      <c r="G120" s="76">
        <v>1.23</v>
      </c>
      <c r="H120" s="104">
        <f t="shared" si="5"/>
        <v>60295.448700000001</v>
      </c>
      <c r="I120" s="104"/>
      <c r="J120" s="104">
        <f t="shared" si="8"/>
        <v>60295.448700000001</v>
      </c>
      <c r="K120" s="104">
        <f t="shared" si="9"/>
        <v>6029.5448700000006</v>
      </c>
      <c r="L120" s="104"/>
      <c r="M120" s="153"/>
      <c r="N120" s="153"/>
      <c r="O120" s="105"/>
      <c r="P120" s="105">
        <f t="shared" si="13"/>
        <v>14968.669943857125</v>
      </c>
      <c r="Q120" s="105"/>
      <c r="R120" s="105"/>
      <c r="S120" s="105"/>
      <c r="T120" s="105"/>
      <c r="U120" s="105"/>
      <c r="V120" s="105"/>
      <c r="W120" s="105">
        <f t="shared" si="10"/>
        <v>81293.663513857129</v>
      </c>
      <c r="X120" s="105">
        <f t="shared" si="11"/>
        <v>975.52396216628563</v>
      </c>
    </row>
    <row r="121" spans="1:24" s="147" customFormat="1" x14ac:dyDescent="0.2">
      <c r="A121" s="77">
        <v>110</v>
      </c>
      <c r="B121" s="142" t="s">
        <v>304</v>
      </c>
      <c r="C121" s="77">
        <v>1</v>
      </c>
      <c r="D121" s="77">
        <v>1</v>
      </c>
      <c r="E121" s="113">
        <v>2.77</v>
      </c>
      <c r="F121" s="104">
        <v>17697</v>
      </c>
      <c r="G121" s="76">
        <v>1.23</v>
      </c>
      <c r="H121" s="104">
        <f t="shared" si="5"/>
        <v>60295.448700000001</v>
      </c>
      <c r="I121" s="104"/>
      <c r="J121" s="104">
        <f t="shared" si="8"/>
        <v>60295.448700000001</v>
      </c>
      <c r="K121" s="104">
        <f t="shared" si="9"/>
        <v>6029.5448700000006</v>
      </c>
      <c r="L121" s="104"/>
      <c r="M121" s="153"/>
      <c r="N121" s="153"/>
      <c r="O121" s="105"/>
      <c r="P121" s="105">
        <f t="shared" si="13"/>
        <v>14968.669943857125</v>
      </c>
      <c r="Q121" s="105"/>
      <c r="R121" s="105"/>
      <c r="S121" s="105"/>
      <c r="T121" s="105"/>
      <c r="U121" s="105"/>
      <c r="V121" s="105"/>
      <c r="W121" s="105">
        <f t="shared" si="10"/>
        <v>81293.663513857129</v>
      </c>
      <c r="X121" s="105">
        <f t="shared" si="11"/>
        <v>975.52396216628563</v>
      </c>
    </row>
    <row r="122" spans="1:24" s="147" customFormat="1" x14ac:dyDescent="0.2">
      <c r="A122" s="77">
        <v>111</v>
      </c>
      <c r="B122" s="142" t="s">
        <v>304</v>
      </c>
      <c r="C122" s="77">
        <v>1</v>
      </c>
      <c r="D122" s="77">
        <v>1</v>
      </c>
      <c r="E122" s="113">
        <v>2.77</v>
      </c>
      <c r="F122" s="104">
        <v>17697</v>
      </c>
      <c r="G122" s="76">
        <v>1.23</v>
      </c>
      <c r="H122" s="104">
        <f t="shared" si="5"/>
        <v>60295.448700000001</v>
      </c>
      <c r="I122" s="104"/>
      <c r="J122" s="104">
        <f t="shared" si="8"/>
        <v>60295.448700000001</v>
      </c>
      <c r="K122" s="104">
        <f t="shared" si="9"/>
        <v>6029.5448700000006</v>
      </c>
      <c r="L122" s="104"/>
      <c r="M122" s="153"/>
      <c r="N122" s="153"/>
      <c r="O122" s="105"/>
      <c r="P122" s="105">
        <f t="shared" si="13"/>
        <v>14968.669943857125</v>
      </c>
      <c r="Q122" s="105"/>
      <c r="R122" s="105"/>
      <c r="S122" s="105"/>
      <c r="T122" s="105"/>
      <c r="U122" s="105"/>
      <c r="V122" s="105"/>
      <c r="W122" s="105">
        <f t="shared" si="10"/>
        <v>81293.663513857129</v>
      </c>
      <c r="X122" s="105">
        <f t="shared" si="11"/>
        <v>975.52396216628563</v>
      </c>
    </row>
    <row r="123" spans="1:24" s="147" customFormat="1" ht="33" customHeight="1" x14ac:dyDescent="0.2">
      <c r="A123" s="77">
        <v>112</v>
      </c>
      <c r="B123" s="142" t="s">
        <v>311</v>
      </c>
      <c r="C123" s="77">
        <v>0.5</v>
      </c>
      <c r="D123" s="77">
        <v>1</v>
      </c>
      <c r="E123" s="113">
        <v>2.77</v>
      </c>
      <c r="F123" s="104">
        <v>17697</v>
      </c>
      <c r="G123" s="76">
        <v>1.23</v>
      </c>
      <c r="H123" s="104">
        <f t="shared" si="5"/>
        <v>30147.72435</v>
      </c>
      <c r="I123" s="104"/>
      <c r="J123" s="104">
        <f t="shared" si="8"/>
        <v>30147.72435</v>
      </c>
      <c r="K123" s="104">
        <f t="shared" si="9"/>
        <v>3014.7724350000003</v>
      </c>
      <c r="L123" s="104"/>
      <c r="M123" s="155"/>
      <c r="N123" s="153"/>
      <c r="O123" s="105"/>
      <c r="P123" s="153"/>
      <c r="Q123" s="105"/>
      <c r="R123" s="105"/>
      <c r="S123" s="105"/>
      <c r="T123" s="105"/>
      <c r="U123" s="105"/>
      <c r="V123" s="105"/>
      <c r="W123" s="105">
        <f t="shared" si="10"/>
        <v>33162.496785000003</v>
      </c>
      <c r="X123" s="105">
        <f t="shared" si="11"/>
        <v>397.94996142000008</v>
      </c>
    </row>
    <row r="124" spans="1:24" s="147" customFormat="1" ht="30" customHeight="1" x14ac:dyDescent="0.2">
      <c r="A124" s="77">
        <v>113</v>
      </c>
      <c r="B124" s="142" t="s">
        <v>311</v>
      </c>
      <c r="C124" s="77">
        <v>1</v>
      </c>
      <c r="D124" s="77">
        <v>1</v>
      </c>
      <c r="E124" s="113">
        <v>2.77</v>
      </c>
      <c r="F124" s="104">
        <v>17697</v>
      </c>
      <c r="G124" s="76">
        <v>1.23</v>
      </c>
      <c r="H124" s="104">
        <f t="shared" si="5"/>
        <v>60295.448700000001</v>
      </c>
      <c r="I124" s="104"/>
      <c r="J124" s="104">
        <f t="shared" si="8"/>
        <v>60295.448700000001</v>
      </c>
      <c r="K124" s="104">
        <f t="shared" si="9"/>
        <v>6029.5448700000006</v>
      </c>
      <c r="L124" s="104"/>
      <c r="M124" s="153"/>
      <c r="N124" s="153"/>
      <c r="O124" s="105"/>
      <c r="P124" s="153"/>
      <c r="Q124" s="105"/>
      <c r="R124" s="105"/>
      <c r="S124" s="105"/>
      <c r="T124" s="105"/>
      <c r="U124" s="105"/>
      <c r="V124" s="105"/>
      <c r="W124" s="105">
        <f t="shared" si="10"/>
        <v>66324.993570000006</v>
      </c>
      <c r="X124" s="105">
        <f t="shared" si="11"/>
        <v>795.89992284000016</v>
      </c>
    </row>
    <row r="125" spans="1:24" s="147" customFormat="1" x14ac:dyDescent="0.2">
      <c r="A125" s="77">
        <v>114</v>
      </c>
      <c r="B125" s="142" t="s">
        <v>311</v>
      </c>
      <c r="C125" s="77">
        <v>1.5</v>
      </c>
      <c r="D125" s="77">
        <v>1</v>
      </c>
      <c r="E125" s="113">
        <v>2.77</v>
      </c>
      <c r="F125" s="104">
        <v>17697</v>
      </c>
      <c r="G125" s="76">
        <v>1.23</v>
      </c>
      <c r="H125" s="104">
        <f t="shared" si="5"/>
        <v>90443.173049999998</v>
      </c>
      <c r="I125" s="104"/>
      <c r="J125" s="104">
        <f t="shared" si="8"/>
        <v>90443.173049999998</v>
      </c>
      <c r="K125" s="104">
        <f t="shared" si="9"/>
        <v>9044.3173050000005</v>
      </c>
      <c r="L125" s="104"/>
      <c r="M125" s="153"/>
      <c r="N125" s="153"/>
      <c r="O125" s="105"/>
      <c r="P125" s="153"/>
      <c r="Q125" s="105"/>
      <c r="R125" s="105"/>
      <c r="S125" s="105"/>
      <c r="T125" s="105"/>
      <c r="U125" s="105"/>
      <c r="V125" s="105"/>
      <c r="W125" s="105">
        <f t="shared" si="10"/>
        <v>99487.490355000002</v>
      </c>
      <c r="X125" s="105">
        <f t="shared" si="11"/>
        <v>1193.84988426</v>
      </c>
    </row>
    <row r="126" spans="1:24" s="147" customFormat="1" ht="23.25" customHeight="1" x14ac:dyDescent="0.2">
      <c r="A126" s="77">
        <v>115</v>
      </c>
      <c r="B126" s="142" t="s">
        <v>311</v>
      </c>
      <c r="C126" s="77">
        <v>0.5</v>
      </c>
      <c r="D126" s="77">
        <v>1</v>
      </c>
      <c r="E126" s="113">
        <v>2.77</v>
      </c>
      <c r="F126" s="104">
        <v>17697</v>
      </c>
      <c r="G126" s="76">
        <v>1.23</v>
      </c>
      <c r="H126" s="104">
        <f t="shared" si="5"/>
        <v>30147.72435</v>
      </c>
      <c r="I126" s="104"/>
      <c r="J126" s="104">
        <f t="shared" si="8"/>
        <v>30147.72435</v>
      </c>
      <c r="K126" s="104">
        <f t="shared" si="9"/>
        <v>3014.7724350000003</v>
      </c>
      <c r="L126" s="104"/>
      <c r="M126" s="153"/>
      <c r="N126" s="153"/>
      <c r="O126" s="105"/>
      <c r="P126" s="153"/>
      <c r="Q126" s="105"/>
      <c r="R126" s="105"/>
      <c r="S126" s="105"/>
      <c r="T126" s="105"/>
      <c r="U126" s="105"/>
      <c r="V126" s="105"/>
      <c r="W126" s="105">
        <f t="shared" si="10"/>
        <v>33162.496785000003</v>
      </c>
      <c r="X126" s="105">
        <f t="shared" si="11"/>
        <v>397.94996142000008</v>
      </c>
    </row>
    <row r="127" spans="1:24" s="147" customFormat="1" x14ac:dyDescent="0.2">
      <c r="A127" s="77">
        <v>116</v>
      </c>
      <c r="B127" s="142" t="s">
        <v>311</v>
      </c>
      <c r="C127" s="77">
        <v>0.5</v>
      </c>
      <c r="D127" s="77">
        <v>1</v>
      </c>
      <c r="E127" s="113">
        <v>2.77</v>
      </c>
      <c r="F127" s="104">
        <v>17697</v>
      </c>
      <c r="G127" s="76">
        <v>1.23</v>
      </c>
      <c r="H127" s="104">
        <f t="shared" si="5"/>
        <v>30147.72435</v>
      </c>
      <c r="I127" s="104"/>
      <c r="J127" s="104">
        <f t="shared" si="8"/>
        <v>30147.72435</v>
      </c>
      <c r="K127" s="104">
        <f t="shared" si="9"/>
        <v>3014.7724350000003</v>
      </c>
      <c r="L127" s="104"/>
      <c r="M127" s="153"/>
      <c r="N127" s="153"/>
      <c r="O127" s="105"/>
      <c r="P127" s="153"/>
      <c r="Q127" s="105"/>
      <c r="R127" s="105"/>
      <c r="S127" s="105"/>
      <c r="T127" s="105"/>
      <c r="U127" s="105"/>
      <c r="V127" s="105"/>
      <c r="W127" s="105">
        <f t="shared" si="10"/>
        <v>33162.496785000003</v>
      </c>
      <c r="X127" s="105">
        <f t="shared" si="11"/>
        <v>397.94996142000008</v>
      </c>
    </row>
    <row r="128" spans="1:24" s="147" customFormat="1" x14ac:dyDescent="0.2">
      <c r="A128" s="77">
        <v>117</v>
      </c>
      <c r="B128" s="142" t="s">
        <v>314</v>
      </c>
      <c r="C128" s="77">
        <v>1</v>
      </c>
      <c r="D128" s="77">
        <v>2</v>
      </c>
      <c r="E128" s="116">
        <v>2.81</v>
      </c>
      <c r="F128" s="104">
        <v>17697</v>
      </c>
      <c r="G128" s="76">
        <v>1.23</v>
      </c>
      <c r="H128" s="104">
        <f t="shared" si="5"/>
        <v>61166.141100000001</v>
      </c>
      <c r="I128" s="104"/>
      <c r="J128" s="104">
        <f t="shared" si="8"/>
        <v>61166.141100000001</v>
      </c>
      <c r="K128" s="104">
        <f t="shared" si="9"/>
        <v>6116.6141100000004</v>
      </c>
      <c r="L128" s="104"/>
      <c r="M128" s="153"/>
      <c r="N128" s="106"/>
      <c r="O128" s="105"/>
      <c r="P128" s="106"/>
      <c r="Q128" s="105"/>
      <c r="R128" s="105"/>
      <c r="S128" s="105"/>
      <c r="T128" s="105"/>
      <c r="U128" s="105"/>
      <c r="V128" s="105"/>
      <c r="W128" s="105">
        <f t="shared" si="10"/>
        <v>67282.755210000003</v>
      </c>
      <c r="X128" s="105">
        <f t="shared" si="11"/>
        <v>807.39306252000006</v>
      </c>
    </row>
    <row r="129" spans="1:24" s="147" customFormat="1" ht="18" customHeight="1" x14ac:dyDescent="0.2">
      <c r="A129" s="77">
        <v>118</v>
      </c>
      <c r="B129" s="142" t="s">
        <v>316</v>
      </c>
      <c r="C129" s="77">
        <v>1</v>
      </c>
      <c r="D129" s="103">
        <v>5</v>
      </c>
      <c r="E129" s="157">
        <v>2.92</v>
      </c>
      <c r="F129" s="104">
        <v>17697</v>
      </c>
      <c r="G129" s="76">
        <v>1.23</v>
      </c>
      <c r="H129" s="104">
        <f t="shared" si="5"/>
        <v>63560.545199999993</v>
      </c>
      <c r="I129" s="104"/>
      <c r="J129" s="104">
        <f t="shared" si="8"/>
        <v>63560.545199999993</v>
      </c>
      <c r="K129" s="104">
        <f t="shared" si="9"/>
        <v>6356.0545199999997</v>
      </c>
      <c r="L129" s="104"/>
      <c r="M129" s="153"/>
      <c r="N129" s="153">
        <f>C129*F129*35%</f>
        <v>6193.95</v>
      </c>
      <c r="O129" s="105"/>
      <c r="P129" s="153"/>
      <c r="Q129" s="105"/>
      <c r="R129" s="105"/>
      <c r="S129" s="105"/>
      <c r="T129" s="105"/>
      <c r="U129" s="105"/>
      <c r="V129" s="105"/>
      <c r="W129" s="105">
        <f t="shared" si="10"/>
        <v>76110.549719999995</v>
      </c>
      <c r="X129" s="105">
        <f t="shared" si="11"/>
        <v>913.32659663999993</v>
      </c>
    </row>
    <row r="130" spans="1:24" s="147" customFormat="1" ht="25.5" x14ac:dyDescent="0.2">
      <c r="A130" s="77">
        <v>119</v>
      </c>
      <c r="B130" s="143" t="s">
        <v>283</v>
      </c>
      <c r="C130" s="103">
        <v>0.5</v>
      </c>
      <c r="D130" s="103">
        <v>2</v>
      </c>
      <c r="E130" s="157">
        <v>2.81</v>
      </c>
      <c r="F130" s="104">
        <v>17697</v>
      </c>
      <c r="G130" s="76">
        <v>1.23</v>
      </c>
      <c r="H130" s="104">
        <f t="shared" si="5"/>
        <v>30583.07055</v>
      </c>
      <c r="I130" s="104"/>
      <c r="J130" s="104">
        <f t="shared" si="8"/>
        <v>30583.07055</v>
      </c>
      <c r="K130" s="104">
        <f t="shared" si="9"/>
        <v>3058.3070550000002</v>
      </c>
      <c r="L130" s="104"/>
      <c r="M130" s="153">
        <f>F130*30%*C130</f>
        <v>2654.5499999999997</v>
      </c>
      <c r="N130" s="153"/>
      <c r="O130" s="105"/>
      <c r="P130" s="153"/>
      <c r="Q130" s="105"/>
      <c r="R130" s="105"/>
      <c r="S130" s="105"/>
      <c r="T130" s="105"/>
      <c r="U130" s="105"/>
      <c r="V130" s="105"/>
      <c r="W130" s="105">
        <f t="shared" si="10"/>
        <v>36295.927605000004</v>
      </c>
      <c r="X130" s="105">
        <f t="shared" si="11"/>
        <v>435.55113126000003</v>
      </c>
    </row>
    <row r="131" spans="1:24" s="151" customFormat="1" ht="20.25" customHeight="1" x14ac:dyDescent="0.2">
      <c r="A131" s="145"/>
      <c r="B131" s="144" t="s">
        <v>71</v>
      </c>
      <c r="C131" s="107">
        <f>SUM(C12:C130)</f>
        <v>116.5</v>
      </c>
      <c r="D131" s="138"/>
      <c r="E131" s="117"/>
      <c r="F131" s="55"/>
      <c r="G131" s="150"/>
      <c r="H131" s="55">
        <f t="shared" ref="H131:X131" si="14">SUM(H12:H130)</f>
        <v>11466891.312630007</v>
      </c>
      <c r="I131" s="55">
        <f t="shared" si="14"/>
        <v>0</v>
      </c>
      <c r="J131" s="55">
        <f t="shared" si="14"/>
        <v>11466891.312630007</v>
      </c>
      <c r="K131" s="55">
        <f t="shared" si="14"/>
        <v>1146689.1312630002</v>
      </c>
      <c r="L131" s="55">
        <f t="shared" si="14"/>
        <v>0</v>
      </c>
      <c r="M131" s="55">
        <f t="shared" si="14"/>
        <v>120339.6</v>
      </c>
      <c r="N131" s="55">
        <f t="shared" si="14"/>
        <v>6193.95</v>
      </c>
      <c r="O131" s="55">
        <f t="shared" si="14"/>
        <v>20568.082588148867</v>
      </c>
      <c r="P131" s="55">
        <f t="shared" si="14"/>
        <v>246213.00516858854</v>
      </c>
      <c r="Q131" s="55">
        <f t="shared" si="14"/>
        <v>0</v>
      </c>
      <c r="R131" s="55">
        <f t="shared" si="14"/>
        <v>39765.159</v>
      </c>
      <c r="S131" s="55">
        <f t="shared" si="14"/>
        <v>371358.27224999998</v>
      </c>
      <c r="T131" s="55">
        <f t="shared" si="14"/>
        <v>457856.78399999999</v>
      </c>
      <c r="U131" s="55">
        <f t="shared" si="14"/>
        <v>0</v>
      </c>
      <c r="V131" s="55">
        <f t="shared" si="14"/>
        <v>650751.87187499995</v>
      </c>
      <c r="W131" s="55">
        <f t="shared" si="14"/>
        <v>14526627.168774741</v>
      </c>
      <c r="X131" s="55">
        <f t="shared" si="14"/>
        <v>174319.5260252968</v>
      </c>
    </row>
    <row r="132" spans="1:24" s="151" customFormat="1" ht="20.25" customHeight="1" x14ac:dyDescent="0.2">
      <c r="A132" s="145"/>
      <c r="B132" s="144" t="s">
        <v>461</v>
      </c>
      <c r="C132" s="107">
        <v>63</v>
      </c>
      <c r="D132" s="138"/>
      <c r="E132" s="117"/>
      <c r="F132" s="55"/>
      <c r="G132" s="150"/>
      <c r="H132" s="55">
        <f>'тариф мугалим'!O89+'тариф мугалим'!Q89</f>
        <v>9544393.0476562511</v>
      </c>
      <c r="I132" s="55"/>
      <c r="J132" s="55">
        <f>H132</f>
        <v>9544393.0476562511</v>
      </c>
      <c r="K132" s="55">
        <f>J132*0.1</f>
        <v>954439.30476562516</v>
      </c>
      <c r="L132" s="55"/>
      <c r="M132" s="55"/>
      <c r="N132" s="55"/>
      <c r="O132" s="55"/>
      <c r="P132" s="55"/>
      <c r="Q132" s="55">
        <f>'тариф мугалим'!Z89+'тариф мугалим'!AA89+'тариф мугалим'!AB89+'тариф мугалим'!AC89+'тариф мугалим'!AE89+'тариф мугалим'!AF89</f>
        <v>3949707.9330468765</v>
      </c>
      <c r="R132" s="55">
        <f>'тариф мугалим'!AG89</f>
        <v>349135.54101562494</v>
      </c>
      <c r="S132" s="55">
        <f>'тариф мугалим'!AH89</f>
        <v>448738.12823437504</v>
      </c>
      <c r="T132" s="55">
        <f>'тариф мугалим'!AI89</f>
        <v>1343940.0436875001</v>
      </c>
      <c r="U132" s="55">
        <f>'[1]тариф мугалим'!AJ89+'тариф мугалим'!AK89</f>
        <v>425369.51625000004</v>
      </c>
      <c r="V132" s="55"/>
      <c r="W132" s="209">
        <f>SUM(J132:V132)</f>
        <v>17015723.514656253</v>
      </c>
      <c r="X132" s="209">
        <f t="shared" si="11"/>
        <v>204188.68217587503</v>
      </c>
    </row>
    <row r="133" spans="1:24" ht="13.5" customHeight="1" x14ac:dyDescent="0.2">
      <c r="A133" s="210"/>
      <c r="B133" s="144" t="s">
        <v>71</v>
      </c>
      <c r="C133" s="211">
        <f>C131+C132</f>
        <v>179.5</v>
      </c>
      <c r="D133" s="210"/>
      <c r="E133" s="212"/>
      <c r="F133" s="213"/>
      <c r="G133" s="210"/>
      <c r="H133" s="214">
        <f>H131+H132</f>
        <v>21011284.360286258</v>
      </c>
      <c r="I133" s="214">
        <f t="shared" ref="I133:X133" si="15">I131+I132</f>
        <v>0</v>
      </c>
      <c r="J133" s="214">
        <f t="shared" si="15"/>
        <v>21011284.360286258</v>
      </c>
      <c r="K133" s="214">
        <f t="shared" si="15"/>
        <v>2101128.4360286254</v>
      </c>
      <c r="L133" s="214">
        <f t="shared" si="15"/>
        <v>0</v>
      </c>
      <c r="M133" s="214">
        <f t="shared" si="15"/>
        <v>120339.6</v>
      </c>
      <c r="N133" s="214">
        <f t="shared" si="15"/>
        <v>6193.95</v>
      </c>
      <c r="O133" s="214">
        <f t="shared" si="15"/>
        <v>20568.082588148867</v>
      </c>
      <c r="P133" s="214">
        <f t="shared" si="15"/>
        <v>246213.00516858854</v>
      </c>
      <c r="Q133" s="214">
        <f t="shared" si="15"/>
        <v>3949707.9330468765</v>
      </c>
      <c r="R133" s="214">
        <f t="shared" si="15"/>
        <v>388900.70001562493</v>
      </c>
      <c r="S133" s="214">
        <f t="shared" si="15"/>
        <v>820096.40048437496</v>
      </c>
      <c r="T133" s="214">
        <f t="shared" si="15"/>
        <v>1801796.8276875</v>
      </c>
      <c r="U133" s="214">
        <f t="shared" si="15"/>
        <v>425369.51625000004</v>
      </c>
      <c r="V133" s="214">
        <f t="shared" si="15"/>
        <v>650751.87187499995</v>
      </c>
      <c r="W133" s="214">
        <f t="shared" si="15"/>
        <v>31542350.683430992</v>
      </c>
      <c r="X133" s="214">
        <f t="shared" si="15"/>
        <v>378508.20820117183</v>
      </c>
    </row>
    <row r="134" spans="1:24" ht="28.5" customHeight="1" x14ac:dyDescent="0.2">
      <c r="B134" s="215" t="s">
        <v>462</v>
      </c>
      <c r="X134" s="102">
        <f>'ШТАТ АУП 2022'!AB132+'тариф мугалим'!AM89</f>
        <v>378508.20820117183</v>
      </c>
    </row>
    <row r="135" spans="1:24" ht="28.5" customHeight="1" x14ac:dyDescent="0.2"/>
    <row r="136" spans="1:24" ht="28.5" customHeight="1" x14ac:dyDescent="0.2">
      <c r="D136" s="109"/>
    </row>
  </sheetData>
  <mergeCells count="15">
    <mergeCell ref="A9:X9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Q10"/>
    <mergeCell ref="R10:V10"/>
    <mergeCell ref="W10:W11"/>
    <mergeCell ref="X10:X11"/>
  </mergeCells>
  <pageMargins left="0" right="0.11811023622047245" top="0" bottom="0" header="0.31496062992125984" footer="0"/>
  <pageSetup paperSize="9" scale="7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  <pageSetUpPr fitToPage="1"/>
  </sheetPr>
  <dimension ref="A1:AD139"/>
  <sheetViews>
    <sheetView topLeftCell="A8" zoomScale="95" zoomScaleSheetLayoutView="95" workbookViewId="0">
      <pane xSplit="4" ySplit="5" topLeftCell="E115" activePane="bottomRight" state="frozen"/>
      <selection activeCell="A8" sqref="A8"/>
      <selection pane="topRight" activeCell="E8" sqref="E8"/>
      <selection pane="bottomLeft" activeCell="A13" sqref="A13"/>
      <selection pane="bottomRight" activeCell="A8" sqref="A1:IV65536"/>
    </sheetView>
  </sheetViews>
  <sheetFormatPr defaultColWidth="6.140625" defaultRowHeight="28.5" customHeight="1" x14ac:dyDescent="0.2"/>
  <cols>
    <col min="1" max="1" width="6.140625" style="101" customWidth="1"/>
    <col min="2" max="2" width="18.5703125" style="101" customWidth="1"/>
    <col min="3" max="3" width="18.28515625" style="149" customWidth="1"/>
    <col min="4" max="4" width="6.85546875" style="111" customWidth="1"/>
    <col min="5" max="5" width="6.140625" style="101" customWidth="1"/>
    <col min="6" max="6" width="6.85546875" style="149" customWidth="1"/>
    <col min="7" max="7" width="7.5703125" style="101" customWidth="1"/>
    <col min="8" max="8" width="7.85546875" style="101" customWidth="1"/>
    <col min="9" max="9" width="6.140625" style="112" customWidth="1"/>
    <col min="10" max="10" width="7.140625" style="102" customWidth="1"/>
    <col min="11" max="11" width="6.140625" style="101" customWidth="1"/>
    <col min="12" max="12" width="11.42578125" style="102" customWidth="1"/>
    <col min="13" max="13" width="8.85546875" style="102" hidden="1" customWidth="1"/>
    <col min="14" max="14" width="10.5703125" style="102" customWidth="1"/>
    <col min="15" max="15" width="10.28515625" style="102" customWidth="1"/>
    <col min="16" max="16" width="6.140625" style="102" hidden="1" customWidth="1"/>
    <col min="17" max="17" width="9" style="102" customWidth="1"/>
    <col min="18" max="18" width="6.140625" style="102" customWidth="1"/>
    <col min="19" max="19" width="7.85546875" style="102" customWidth="1"/>
    <col min="20" max="20" width="8.140625" style="102" customWidth="1"/>
    <col min="21" max="21" width="5" style="102" customWidth="1"/>
    <col min="22" max="22" width="7.28515625" style="102" customWidth="1"/>
    <col min="23" max="23" width="9.140625" style="102" customWidth="1"/>
    <col min="24" max="24" width="8.28515625" style="102" customWidth="1"/>
    <col min="25" max="25" width="6.140625" style="102" customWidth="1"/>
    <col min="26" max="26" width="8.85546875" style="102" customWidth="1"/>
    <col min="27" max="27" width="12.140625" style="102" customWidth="1"/>
    <col min="28" max="28" width="10.140625" style="102" customWidth="1"/>
    <col min="29" max="29" width="6.140625" style="101"/>
    <col min="30" max="30" width="7.28515625" style="101" bestFit="1" customWidth="1"/>
    <col min="31" max="16384" width="6.140625" style="101"/>
  </cols>
  <sheetData>
    <row r="1" spans="1:28" ht="14.25" customHeight="1" x14ac:dyDescent="0.2">
      <c r="B1" s="148"/>
      <c r="C1" s="101"/>
      <c r="E1" s="100"/>
      <c r="G1" s="102"/>
      <c r="J1" s="101"/>
      <c r="W1" s="79" t="s">
        <v>9</v>
      </c>
    </row>
    <row r="2" spans="1:28" ht="14.25" customHeight="1" x14ac:dyDescent="0.2">
      <c r="B2" s="148"/>
      <c r="C2" s="101"/>
      <c r="E2" s="100"/>
      <c r="G2" s="102"/>
      <c r="J2" s="101"/>
      <c r="W2" s="80" t="s">
        <v>38</v>
      </c>
    </row>
    <row r="3" spans="1:28" ht="14.25" customHeight="1" x14ac:dyDescent="0.2">
      <c r="B3" s="148"/>
      <c r="C3" s="101"/>
      <c r="E3" s="100"/>
      <c r="G3" s="102"/>
      <c r="J3" s="101"/>
      <c r="W3" s="79" t="s">
        <v>331</v>
      </c>
    </row>
    <row r="4" spans="1:28" ht="14.25" customHeight="1" x14ac:dyDescent="0.2">
      <c r="B4" s="148"/>
      <c r="C4" s="101"/>
      <c r="E4" s="100"/>
      <c r="G4" s="102"/>
      <c r="J4" s="101"/>
      <c r="W4" s="79" t="s">
        <v>332</v>
      </c>
    </row>
    <row r="5" spans="1:28" ht="14.25" customHeight="1" x14ac:dyDescent="0.2">
      <c r="B5" s="148"/>
      <c r="C5" s="101"/>
      <c r="E5" s="100"/>
      <c r="G5" s="102"/>
      <c r="J5" s="101"/>
      <c r="W5" s="79" t="s">
        <v>333</v>
      </c>
    </row>
    <row r="6" spans="1:28" ht="14.25" customHeight="1" x14ac:dyDescent="0.2">
      <c r="B6" s="148"/>
      <c r="C6" s="101"/>
      <c r="E6" s="100"/>
      <c r="G6" s="102"/>
      <c r="J6" s="101"/>
      <c r="W6" s="79" t="s">
        <v>334</v>
      </c>
    </row>
    <row r="7" spans="1:28" ht="14.25" customHeight="1" x14ac:dyDescent="0.2">
      <c r="B7" s="148"/>
      <c r="C7" s="101"/>
      <c r="E7" s="100"/>
      <c r="G7" s="102"/>
      <c r="J7" s="101"/>
      <c r="W7" s="81" t="s">
        <v>335</v>
      </c>
    </row>
    <row r="8" spans="1:28" ht="13.5" customHeight="1" x14ac:dyDescent="0.2">
      <c r="B8" s="148"/>
      <c r="C8" s="101"/>
      <c r="E8" s="100"/>
      <c r="G8" s="102"/>
      <c r="J8" s="101"/>
      <c r="W8" s="81"/>
    </row>
    <row r="9" spans="1:28" ht="39.6" customHeight="1" x14ac:dyDescent="0.2">
      <c r="A9" s="323" t="s">
        <v>355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  <c r="Z9" s="323"/>
      <c r="AA9" s="323"/>
      <c r="AB9" s="323"/>
    </row>
    <row r="11" spans="1:28" s="152" customFormat="1" ht="28.5" customHeight="1" x14ac:dyDescent="0.2">
      <c r="A11" s="324" t="s">
        <v>22</v>
      </c>
      <c r="B11" s="324" t="s">
        <v>0</v>
      </c>
      <c r="C11" s="324" t="s">
        <v>1</v>
      </c>
      <c r="D11" s="324" t="s">
        <v>59</v>
      </c>
      <c r="E11" s="324" t="s">
        <v>2</v>
      </c>
      <c r="F11" s="324" t="s">
        <v>43</v>
      </c>
      <c r="G11" s="324" t="s">
        <v>35</v>
      </c>
      <c r="H11" s="324" t="s">
        <v>36</v>
      </c>
      <c r="I11" s="326" t="s">
        <v>3</v>
      </c>
      <c r="J11" s="328" t="s">
        <v>53</v>
      </c>
      <c r="K11" s="324" t="s">
        <v>51</v>
      </c>
      <c r="L11" s="330" t="s">
        <v>4</v>
      </c>
      <c r="M11" s="330" t="s">
        <v>52</v>
      </c>
      <c r="N11" s="330" t="s">
        <v>42</v>
      </c>
      <c r="O11" s="332" t="s">
        <v>44</v>
      </c>
      <c r="P11" s="333"/>
      <c r="Q11" s="333"/>
      <c r="R11" s="333"/>
      <c r="S11" s="333"/>
      <c r="T11" s="333"/>
      <c r="U11" s="333"/>
      <c r="V11" s="334" t="s">
        <v>44</v>
      </c>
      <c r="W11" s="334"/>
      <c r="X11" s="334"/>
      <c r="Y11" s="334"/>
      <c r="Z11" s="334"/>
      <c r="AA11" s="330" t="s">
        <v>66</v>
      </c>
      <c r="AB11" s="330" t="s">
        <v>67</v>
      </c>
    </row>
    <row r="12" spans="1:28" s="152" customFormat="1" ht="96" customHeight="1" x14ac:dyDescent="0.2">
      <c r="A12" s="325"/>
      <c r="B12" s="325"/>
      <c r="C12" s="325"/>
      <c r="D12" s="325"/>
      <c r="E12" s="325"/>
      <c r="F12" s="325"/>
      <c r="G12" s="325"/>
      <c r="H12" s="325"/>
      <c r="I12" s="327"/>
      <c r="J12" s="329"/>
      <c r="K12" s="325"/>
      <c r="L12" s="331"/>
      <c r="M12" s="331"/>
      <c r="N12" s="331"/>
      <c r="O12" s="39">
        <v>0.1</v>
      </c>
      <c r="P12" s="39" t="s">
        <v>73</v>
      </c>
      <c r="Q12" s="55" t="s">
        <v>48</v>
      </c>
      <c r="R12" s="55" t="s">
        <v>356</v>
      </c>
      <c r="S12" s="55" t="s">
        <v>55</v>
      </c>
      <c r="T12" s="55" t="s">
        <v>54</v>
      </c>
      <c r="U12" s="55" t="s">
        <v>50</v>
      </c>
      <c r="V12" s="137" t="s">
        <v>45</v>
      </c>
      <c r="W12" s="137" t="s">
        <v>46</v>
      </c>
      <c r="X12" s="137" t="s">
        <v>49</v>
      </c>
      <c r="Y12" s="137" t="s">
        <v>47</v>
      </c>
      <c r="Z12" s="137" t="s">
        <v>68</v>
      </c>
      <c r="AA12" s="331"/>
      <c r="AB12" s="331"/>
    </row>
    <row r="13" spans="1:28" s="147" customFormat="1" ht="25.5" x14ac:dyDescent="0.2">
      <c r="A13" s="77">
        <v>1</v>
      </c>
      <c r="B13" s="142" t="s">
        <v>5</v>
      </c>
      <c r="C13" s="142" t="s">
        <v>74</v>
      </c>
      <c r="D13" s="146" t="s">
        <v>37</v>
      </c>
      <c r="E13" s="77">
        <v>1</v>
      </c>
      <c r="F13" s="103"/>
      <c r="G13" s="77" t="s">
        <v>318</v>
      </c>
      <c r="H13" s="75" t="s">
        <v>359</v>
      </c>
      <c r="I13" s="113">
        <v>6.58</v>
      </c>
      <c r="J13" s="104">
        <v>17697</v>
      </c>
      <c r="K13" s="76">
        <v>1.75</v>
      </c>
      <c r="L13" s="104">
        <f t="shared" ref="L13:L131" si="0">(I13*17697*E13)*K13</f>
        <v>203780.95499999999</v>
      </c>
      <c r="M13" s="104">
        <v>0</v>
      </c>
      <c r="N13" s="104">
        <f>L13+M13</f>
        <v>203780.95499999999</v>
      </c>
      <c r="O13" s="104">
        <f>N13*10%</f>
        <v>20378.095499999999</v>
      </c>
      <c r="P13" s="104"/>
      <c r="Q13" s="153"/>
      <c r="R13" s="153"/>
      <c r="S13" s="105"/>
      <c r="T13" s="153"/>
      <c r="U13" s="105"/>
      <c r="V13" s="105"/>
      <c r="W13" s="105"/>
      <c r="X13" s="105"/>
      <c r="Y13" s="105"/>
      <c r="Z13" s="105"/>
      <c r="AA13" s="105">
        <f>SUM(N13:Z13)</f>
        <v>224159.05049999998</v>
      </c>
      <c r="AB13" s="105">
        <f>AA13*12/1000</f>
        <v>2689.9086059999995</v>
      </c>
    </row>
    <row r="14" spans="1:28" s="147" customFormat="1" ht="51" x14ac:dyDescent="0.2">
      <c r="A14" s="77">
        <v>2</v>
      </c>
      <c r="B14" s="142" t="s">
        <v>182</v>
      </c>
      <c r="C14" s="142" t="s">
        <v>77</v>
      </c>
      <c r="D14" s="146" t="s">
        <v>37</v>
      </c>
      <c r="E14" s="77">
        <v>1</v>
      </c>
      <c r="F14" s="103">
        <v>1</v>
      </c>
      <c r="G14" s="77" t="s">
        <v>319</v>
      </c>
      <c r="H14" s="75" t="s">
        <v>360</v>
      </c>
      <c r="I14" s="113">
        <v>6.6</v>
      </c>
      <c r="J14" s="104">
        <v>17697</v>
      </c>
      <c r="K14" s="76">
        <v>1.75</v>
      </c>
      <c r="L14" s="104">
        <f t="shared" si="0"/>
        <v>204400.35</v>
      </c>
      <c r="M14" s="104">
        <v>0</v>
      </c>
      <c r="N14" s="104">
        <f t="shared" ref="N14:N77" si="1">L14+M14</f>
        <v>204400.35</v>
      </c>
      <c r="O14" s="104">
        <f t="shared" ref="O14:O77" si="2">N14*10%</f>
        <v>20440.035000000003</v>
      </c>
      <c r="P14" s="104"/>
      <c r="Q14" s="153"/>
      <c r="R14" s="153"/>
      <c r="S14" s="105"/>
      <c r="T14" s="153"/>
      <c r="U14" s="105"/>
      <c r="V14" s="105"/>
      <c r="W14" s="105"/>
      <c r="X14" s="105"/>
      <c r="Y14" s="105"/>
      <c r="Z14" s="105">
        <f>N14</f>
        <v>204400.35</v>
      </c>
      <c r="AA14" s="105">
        <f t="shared" ref="AA14:AA77" si="3">SUM(N14:Z14)</f>
        <v>429240.73499999999</v>
      </c>
      <c r="AB14" s="105">
        <f t="shared" ref="AB14:AB77" si="4">AA14*12/1000</f>
        <v>5150.8888200000001</v>
      </c>
    </row>
    <row r="15" spans="1:28" s="147" customFormat="1" ht="25.5" x14ac:dyDescent="0.2">
      <c r="A15" s="77">
        <v>3</v>
      </c>
      <c r="B15" s="142" t="s">
        <v>183</v>
      </c>
      <c r="C15" s="142" t="s">
        <v>75</v>
      </c>
      <c r="D15" s="146" t="s">
        <v>37</v>
      </c>
      <c r="E15" s="77">
        <v>1</v>
      </c>
      <c r="F15" s="103">
        <v>1</v>
      </c>
      <c r="G15" s="77" t="s">
        <v>319</v>
      </c>
      <c r="H15" s="75" t="s">
        <v>361</v>
      </c>
      <c r="I15" s="113">
        <v>6.25</v>
      </c>
      <c r="J15" s="104">
        <v>17697</v>
      </c>
      <c r="K15" s="76">
        <v>1.75</v>
      </c>
      <c r="L15" s="104">
        <f t="shared" si="0"/>
        <v>193560.9375</v>
      </c>
      <c r="M15" s="104">
        <v>0</v>
      </c>
      <c r="N15" s="104">
        <f t="shared" si="1"/>
        <v>193560.9375</v>
      </c>
      <c r="O15" s="104">
        <f t="shared" si="2"/>
        <v>19356.09375</v>
      </c>
      <c r="P15" s="104"/>
      <c r="Q15" s="153"/>
      <c r="R15" s="153"/>
      <c r="S15" s="105"/>
      <c r="T15" s="153"/>
      <c r="U15" s="105"/>
      <c r="V15" s="105"/>
      <c r="W15" s="105"/>
      <c r="X15" s="105"/>
      <c r="Y15" s="105"/>
      <c r="Z15" s="105">
        <f>N15</f>
        <v>193560.9375</v>
      </c>
      <c r="AA15" s="105">
        <f t="shared" si="3"/>
        <v>406477.96875</v>
      </c>
      <c r="AB15" s="105">
        <f t="shared" si="4"/>
        <v>4877.7356250000003</v>
      </c>
    </row>
    <row r="16" spans="1:28" s="147" customFormat="1" ht="38.25" x14ac:dyDescent="0.2">
      <c r="A16" s="77">
        <v>4</v>
      </c>
      <c r="B16" s="64" t="s">
        <v>184</v>
      </c>
      <c r="C16" s="142" t="s">
        <v>185</v>
      </c>
      <c r="D16" s="146" t="s">
        <v>37</v>
      </c>
      <c r="E16" s="77">
        <v>1</v>
      </c>
      <c r="F16" s="103"/>
      <c r="G16" s="140" t="s">
        <v>319</v>
      </c>
      <c r="H16" s="75" t="s">
        <v>362</v>
      </c>
      <c r="I16" s="114">
        <v>6.08</v>
      </c>
      <c r="J16" s="104">
        <v>17697</v>
      </c>
      <c r="K16" s="76">
        <v>1.75</v>
      </c>
      <c r="L16" s="104">
        <f t="shared" si="0"/>
        <v>188296.08</v>
      </c>
      <c r="M16" s="104">
        <v>0</v>
      </c>
      <c r="N16" s="104">
        <f t="shared" si="1"/>
        <v>188296.08</v>
      </c>
      <c r="O16" s="104">
        <f t="shared" si="2"/>
        <v>18829.608</v>
      </c>
      <c r="P16" s="104"/>
      <c r="Q16" s="153"/>
      <c r="R16" s="153"/>
      <c r="S16" s="105"/>
      <c r="T16" s="153"/>
      <c r="U16" s="105"/>
      <c r="V16" s="105"/>
      <c r="W16" s="105"/>
      <c r="X16" s="105"/>
      <c r="Y16" s="105"/>
      <c r="Z16" s="105"/>
      <c r="AA16" s="105">
        <f t="shared" si="3"/>
        <v>207125.68799999999</v>
      </c>
      <c r="AB16" s="105">
        <f t="shared" si="4"/>
        <v>2485.5082560000001</v>
      </c>
    </row>
    <row r="17" spans="1:28" s="147" customFormat="1" ht="25.5" x14ac:dyDescent="0.2">
      <c r="A17" s="77">
        <v>5</v>
      </c>
      <c r="B17" s="142" t="s">
        <v>186</v>
      </c>
      <c r="C17" s="142" t="s">
        <v>187</v>
      </c>
      <c r="D17" s="146" t="s">
        <v>37</v>
      </c>
      <c r="E17" s="77">
        <v>1</v>
      </c>
      <c r="F17" s="103">
        <v>1</v>
      </c>
      <c r="G17" s="77" t="s">
        <v>319</v>
      </c>
      <c r="H17" s="75" t="s">
        <v>363</v>
      </c>
      <c r="I17" s="113">
        <v>6.6</v>
      </c>
      <c r="J17" s="104">
        <v>17697</v>
      </c>
      <c r="K17" s="76">
        <v>1.75</v>
      </c>
      <c r="L17" s="104">
        <f t="shared" si="0"/>
        <v>204400.35</v>
      </c>
      <c r="M17" s="104">
        <v>0</v>
      </c>
      <c r="N17" s="104">
        <f t="shared" si="1"/>
        <v>204400.35</v>
      </c>
      <c r="O17" s="104">
        <f t="shared" si="2"/>
        <v>20440.035000000003</v>
      </c>
      <c r="P17" s="104"/>
      <c r="Q17" s="153"/>
      <c r="R17" s="153"/>
      <c r="S17" s="105"/>
      <c r="T17" s="153"/>
      <c r="U17" s="105"/>
      <c r="V17" s="105"/>
      <c r="W17" s="105"/>
      <c r="X17" s="105"/>
      <c r="Y17" s="105"/>
      <c r="Z17" s="105">
        <f>N17</f>
        <v>204400.35</v>
      </c>
      <c r="AA17" s="105">
        <f t="shared" si="3"/>
        <v>429240.73499999999</v>
      </c>
      <c r="AB17" s="105">
        <f t="shared" si="4"/>
        <v>5150.8888200000001</v>
      </c>
    </row>
    <row r="18" spans="1:28" s="147" customFormat="1" ht="25.5" x14ac:dyDescent="0.2">
      <c r="A18" s="77">
        <v>6</v>
      </c>
      <c r="B18" s="142" t="s">
        <v>183</v>
      </c>
      <c r="C18" s="142" t="s">
        <v>188</v>
      </c>
      <c r="D18" s="146" t="s">
        <v>37</v>
      </c>
      <c r="E18" s="77">
        <v>0.5</v>
      </c>
      <c r="F18" s="103">
        <v>2</v>
      </c>
      <c r="G18" s="77" t="s">
        <v>319</v>
      </c>
      <c r="H18" s="75" t="s">
        <v>364</v>
      </c>
      <c r="I18" s="113">
        <v>6.25</v>
      </c>
      <c r="J18" s="104">
        <v>17697</v>
      </c>
      <c r="K18" s="76">
        <v>1.75</v>
      </c>
      <c r="L18" s="104">
        <f t="shared" si="0"/>
        <v>96780.46875</v>
      </c>
      <c r="M18" s="104">
        <v>0</v>
      </c>
      <c r="N18" s="104">
        <f t="shared" si="1"/>
        <v>96780.46875</v>
      </c>
      <c r="O18" s="104">
        <f t="shared" si="2"/>
        <v>9678.046875</v>
      </c>
      <c r="P18" s="104"/>
      <c r="Q18" s="153"/>
      <c r="R18" s="153"/>
      <c r="S18" s="105"/>
      <c r="T18" s="153"/>
      <c r="U18" s="105"/>
      <c r="V18" s="105"/>
      <c r="W18" s="105"/>
      <c r="X18" s="105"/>
      <c r="Y18" s="105"/>
      <c r="Z18" s="105">
        <f>N18/2</f>
        <v>48390.234375</v>
      </c>
      <c r="AA18" s="105">
        <f t="shared" si="3"/>
        <v>154848.75</v>
      </c>
      <c r="AB18" s="105">
        <f t="shared" si="4"/>
        <v>1858.1849999999999</v>
      </c>
    </row>
    <row r="19" spans="1:28" s="147" customFormat="1" ht="38.25" x14ac:dyDescent="0.2">
      <c r="A19" s="77">
        <v>7</v>
      </c>
      <c r="B19" s="142" t="s">
        <v>189</v>
      </c>
      <c r="C19" s="142" t="s">
        <v>190</v>
      </c>
      <c r="D19" s="146" t="s">
        <v>37</v>
      </c>
      <c r="E19" s="77">
        <v>1</v>
      </c>
      <c r="F19" s="103"/>
      <c r="G19" s="77" t="s">
        <v>320</v>
      </c>
      <c r="H19" s="75" t="s">
        <v>365</v>
      </c>
      <c r="I19" s="113">
        <v>5.51</v>
      </c>
      <c r="J19" s="104">
        <v>17697</v>
      </c>
      <c r="K19" s="76">
        <v>1.23</v>
      </c>
      <c r="L19" s="104">
        <f t="shared" si="0"/>
        <v>119937.8781</v>
      </c>
      <c r="M19" s="104">
        <v>0</v>
      </c>
      <c r="N19" s="104">
        <f t="shared" si="1"/>
        <v>119937.8781</v>
      </c>
      <c r="O19" s="104">
        <f t="shared" si="2"/>
        <v>11993.787810000002</v>
      </c>
      <c r="P19" s="104"/>
      <c r="Q19" s="153"/>
      <c r="R19" s="153"/>
      <c r="S19" s="105"/>
      <c r="T19" s="153"/>
      <c r="U19" s="105"/>
      <c r="V19" s="105"/>
      <c r="W19" s="105"/>
      <c r="X19" s="105"/>
      <c r="Y19" s="105"/>
      <c r="Z19" s="105"/>
      <c r="AA19" s="105">
        <f t="shared" si="3"/>
        <v>131931.66591000001</v>
      </c>
      <c r="AB19" s="105">
        <f t="shared" si="4"/>
        <v>1583.1799909200001</v>
      </c>
    </row>
    <row r="20" spans="1:28" s="147" customFormat="1" ht="25.5" x14ac:dyDescent="0.2">
      <c r="A20" s="77">
        <v>8</v>
      </c>
      <c r="B20" s="142" t="s">
        <v>6</v>
      </c>
      <c r="C20" s="142" t="s">
        <v>191</v>
      </c>
      <c r="D20" s="146" t="s">
        <v>37</v>
      </c>
      <c r="E20" s="77">
        <v>1</v>
      </c>
      <c r="F20" s="103"/>
      <c r="G20" s="77" t="s">
        <v>320</v>
      </c>
      <c r="H20" s="75" t="s">
        <v>366</v>
      </c>
      <c r="I20" s="113">
        <v>5.98</v>
      </c>
      <c r="J20" s="104">
        <v>17697</v>
      </c>
      <c r="K20" s="76">
        <v>1.23</v>
      </c>
      <c r="L20" s="104">
        <f t="shared" si="0"/>
        <v>130168.51380000002</v>
      </c>
      <c r="M20" s="104">
        <v>0</v>
      </c>
      <c r="N20" s="104">
        <f t="shared" si="1"/>
        <v>130168.51380000002</v>
      </c>
      <c r="O20" s="104">
        <f t="shared" si="2"/>
        <v>13016.851380000002</v>
      </c>
      <c r="P20" s="104"/>
      <c r="Q20" s="153"/>
      <c r="R20" s="153"/>
      <c r="S20" s="105"/>
      <c r="T20" s="153"/>
      <c r="U20" s="105"/>
      <c r="V20" s="105"/>
      <c r="W20" s="105"/>
      <c r="X20" s="105"/>
      <c r="Y20" s="105"/>
      <c r="Z20" s="105"/>
      <c r="AA20" s="105">
        <f t="shared" si="3"/>
        <v>143185.36518000002</v>
      </c>
      <c r="AB20" s="105">
        <f t="shared" si="4"/>
        <v>1718.2243821600002</v>
      </c>
    </row>
    <row r="21" spans="1:28" s="147" customFormat="1" ht="25.5" x14ac:dyDescent="0.2">
      <c r="A21" s="77">
        <v>9</v>
      </c>
      <c r="B21" s="142" t="s">
        <v>192</v>
      </c>
      <c r="C21" s="142" t="s">
        <v>191</v>
      </c>
      <c r="D21" s="146" t="s">
        <v>37</v>
      </c>
      <c r="E21" s="77">
        <v>0.5</v>
      </c>
      <c r="F21" s="103"/>
      <c r="G21" s="103" t="s">
        <v>321</v>
      </c>
      <c r="H21" s="156" t="s">
        <v>366</v>
      </c>
      <c r="I21" s="157">
        <v>4.6100000000000003</v>
      </c>
      <c r="J21" s="104">
        <v>17697</v>
      </c>
      <c r="K21" s="76">
        <v>1.23</v>
      </c>
      <c r="L21" s="104">
        <f t="shared" si="0"/>
        <v>50173.649550000009</v>
      </c>
      <c r="M21" s="104"/>
      <c r="N21" s="104">
        <f t="shared" si="1"/>
        <v>50173.649550000009</v>
      </c>
      <c r="O21" s="104">
        <f t="shared" si="2"/>
        <v>5017.3649550000009</v>
      </c>
      <c r="P21" s="104"/>
      <c r="Q21" s="153"/>
      <c r="R21" s="153"/>
      <c r="S21" s="105"/>
      <c r="T21" s="153"/>
      <c r="U21" s="105"/>
      <c r="V21" s="105"/>
      <c r="W21" s="105"/>
      <c r="X21" s="105"/>
      <c r="Y21" s="105"/>
      <c r="Z21" s="105"/>
      <c r="AA21" s="105">
        <f t="shared" si="3"/>
        <v>55191.014505000014</v>
      </c>
      <c r="AB21" s="105">
        <f t="shared" si="4"/>
        <v>662.29217406000009</v>
      </c>
    </row>
    <row r="22" spans="1:28" s="147" customFormat="1" ht="25.5" x14ac:dyDescent="0.2">
      <c r="A22" s="77">
        <v>10</v>
      </c>
      <c r="B22" s="142" t="s">
        <v>192</v>
      </c>
      <c r="C22" s="142" t="s">
        <v>193</v>
      </c>
      <c r="D22" s="146" t="s">
        <v>37</v>
      </c>
      <c r="E22" s="77">
        <v>1.5</v>
      </c>
      <c r="F22" s="103"/>
      <c r="G22" s="77" t="s">
        <v>321</v>
      </c>
      <c r="H22" s="75" t="s">
        <v>367</v>
      </c>
      <c r="I22" s="113">
        <v>4.2699999999999996</v>
      </c>
      <c r="J22" s="104">
        <v>17697</v>
      </c>
      <c r="K22" s="76">
        <v>1.23</v>
      </c>
      <c r="L22" s="104">
        <f t="shared" si="0"/>
        <v>139419.62054999996</v>
      </c>
      <c r="M22" s="104"/>
      <c r="N22" s="104">
        <f t="shared" si="1"/>
        <v>139419.62054999996</v>
      </c>
      <c r="O22" s="104">
        <f t="shared" si="2"/>
        <v>13941.962054999996</v>
      </c>
      <c r="P22" s="104"/>
      <c r="Q22" s="153"/>
      <c r="R22" s="153"/>
      <c r="S22" s="105"/>
      <c r="T22" s="153"/>
      <c r="U22" s="105"/>
      <c r="V22" s="105"/>
      <c r="W22" s="105"/>
      <c r="X22" s="105"/>
      <c r="Y22" s="105"/>
      <c r="Z22" s="105"/>
      <c r="AA22" s="105">
        <f t="shared" si="3"/>
        <v>153361.58260499995</v>
      </c>
      <c r="AB22" s="105">
        <f t="shared" si="4"/>
        <v>1840.3389912599994</v>
      </c>
    </row>
    <row r="23" spans="1:28" s="147" customFormat="1" ht="25.5" x14ac:dyDescent="0.2">
      <c r="A23" s="77">
        <v>11</v>
      </c>
      <c r="B23" s="142" t="s">
        <v>194</v>
      </c>
      <c r="C23" s="142" t="s">
        <v>141</v>
      </c>
      <c r="D23" s="146" t="s">
        <v>37</v>
      </c>
      <c r="E23" s="77">
        <v>1</v>
      </c>
      <c r="F23" s="103"/>
      <c r="G23" s="77" t="s">
        <v>322</v>
      </c>
      <c r="H23" s="75" t="s">
        <v>368</v>
      </c>
      <c r="I23" s="113">
        <v>3.68</v>
      </c>
      <c r="J23" s="104">
        <v>17697</v>
      </c>
      <c r="K23" s="76">
        <v>1.23</v>
      </c>
      <c r="L23" s="104">
        <f t="shared" si="0"/>
        <v>80103.700800000006</v>
      </c>
      <c r="M23" s="104"/>
      <c r="N23" s="104">
        <f t="shared" si="1"/>
        <v>80103.700800000006</v>
      </c>
      <c r="O23" s="104">
        <f t="shared" si="2"/>
        <v>8010.3700800000006</v>
      </c>
      <c r="P23" s="104"/>
      <c r="Q23" s="153"/>
      <c r="R23" s="153"/>
      <c r="S23" s="105"/>
      <c r="T23" s="153"/>
      <c r="U23" s="105"/>
      <c r="V23" s="105"/>
      <c r="W23" s="105"/>
      <c r="X23" s="105"/>
      <c r="Y23" s="105"/>
      <c r="Z23" s="105"/>
      <c r="AA23" s="105">
        <f t="shared" si="3"/>
        <v>88114.070880000014</v>
      </c>
      <c r="AB23" s="105">
        <f t="shared" si="4"/>
        <v>1057.3688505600001</v>
      </c>
    </row>
    <row r="24" spans="1:28" s="147" customFormat="1" ht="38.25" x14ac:dyDescent="0.2">
      <c r="A24" s="77">
        <v>12</v>
      </c>
      <c r="B24" s="142" t="s">
        <v>195</v>
      </c>
      <c r="C24" s="142" t="s">
        <v>196</v>
      </c>
      <c r="D24" s="146" t="s">
        <v>37</v>
      </c>
      <c r="E24" s="77">
        <v>1</v>
      </c>
      <c r="F24" s="146" t="s">
        <v>37</v>
      </c>
      <c r="G24" s="77" t="s">
        <v>176</v>
      </c>
      <c r="H24" s="75" t="s">
        <v>369</v>
      </c>
      <c r="I24" s="113">
        <v>5.32</v>
      </c>
      <c r="J24" s="104">
        <v>17697</v>
      </c>
      <c r="K24" s="76">
        <v>1.75</v>
      </c>
      <c r="L24" s="104">
        <f t="shared" si="0"/>
        <v>164759.07</v>
      </c>
      <c r="M24" s="104"/>
      <c r="N24" s="104">
        <f t="shared" si="1"/>
        <v>164759.07</v>
      </c>
      <c r="O24" s="104">
        <f t="shared" si="2"/>
        <v>16475.907000000003</v>
      </c>
      <c r="P24" s="104"/>
      <c r="Q24" s="153"/>
      <c r="R24" s="153"/>
      <c r="S24" s="105"/>
      <c r="T24" s="153"/>
      <c r="U24" s="105"/>
      <c r="V24" s="105"/>
      <c r="W24" s="105"/>
      <c r="X24" s="105"/>
      <c r="Y24" s="105"/>
      <c r="Z24" s="105"/>
      <c r="AA24" s="105">
        <f t="shared" si="3"/>
        <v>181234.97700000001</v>
      </c>
      <c r="AB24" s="105">
        <f t="shared" si="4"/>
        <v>2174.8197240000004</v>
      </c>
    </row>
    <row r="25" spans="1:28" s="147" customFormat="1" ht="25.5" x14ac:dyDescent="0.2">
      <c r="A25" s="77">
        <v>13</v>
      </c>
      <c r="B25" s="142" t="s">
        <v>197</v>
      </c>
      <c r="C25" s="142" t="s">
        <v>198</v>
      </c>
      <c r="D25" s="146" t="s">
        <v>37</v>
      </c>
      <c r="E25" s="77">
        <v>1</v>
      </c>
      <c r="F25" s="103"/>
      <c r="G25" s="77" t="s">
        <v>180</v>
      </c>
      <c r="H25" s="75" t="s">
        <v>370</v>
      </c>
      <c r="I25" s="113">
        <v>4.0999999999999996</v>
      </c>
      <c r="J25" s="104">
        <v>17697</v>
      </c>
      <c r="K25" s="76">
        <v>1.75</v>
      </c>
      <c r="L25" s="104">
        <f t="shared" si="0"/>
        <v>126975.97499999999</v>
      </c>
      <c r="M25" s="104"/>
      <c r="N25" s="104">
        <f t="shared" si="1"/>
        <v>126975.97499999999</v>
      </c>
      <c r="O25" s="104">
        <f t="shared" si="2"/>
        <v>12697.5975</v>
      </c>
      <c r="P25" s="104"/>
      <c r="Q25" s="153"/>
      <c r="R25" s="153"/>
      <c r="S25" s="105"/>
      <c r="T25" s="153"/>
      <c r="U25" s="105"/>
      <c r="V25" s="105"/>
      <c r="W25" s="105"/>
      <c r="X25" s="105"/>
      <c r="Y25" s="105"/>
      <c r="Z25" s="105"/>
      <c r="AA25" s="105">
        <f t="shared" si="3"/>
        <v>139673.57249999998</v>
      </c>
      <c r="AB25" s="105">
        <f t="shared" si="4"/>
        <v>1676.0828699999997</v>
      </c>
    </row>
    <row r="26" spans="1:28" s="147" customFormat="1" ht="25.5" x14ac:dyDescent="0.2">
      <c r="A26" s="77">
        <v>14</v>
      </c>
      <c r="B26" s="143" t="s">
        <v>199</v>
      </c>
      <c r="C26" s="143" t="s">
        <v>200</v>
      </c>
      <c r="D26" s="146" t="s">
        <v>37</v>
      </c>
      <c r="E26" s="103">
        <v>1</v>
      </c>
      <c r="F26" s="146" t="s">
        <v>37</v>
      </c>
      <c r="G26" s="103" t="s">
        <v>323</v>
      </c>
      <c r="H26" s="75" t="s">
        <v>371</v>
      </c>
      <c r="I26" s="113">
        <v>4.55</v>
      </c>
      <c r="J26" s="104">
        <v>17697</v>
      </c>
      <c r="K26" s="76">
        <v>1.75</v>
      </c>
      <c r="L26" s="104">
        <f t="shared" si="0"/>
        <v>140912.36249999999</v>
      </c>
      <c r="M26" s="104"/>
      <c r="N26" s="104">
        <f t="shared" si="1"/>
        <v>140912.36249999999</v>
      </c>
      <c r="O26" s="104">
        <f t="shared" si="2"/>
        <v>14091.23625</v>
      </c>
      <c r="P26" s="104"/>
      <c r="Q26" s="153"/>
      <c r="R26" s="153"/>
      <c r="S26" s="105"/>
      <c r="T26" s="153"/>
      <c r="U26" s="105"/>
      <c r="V26" s="105"/>
      <c r="W26" s="105"/>
      <c r="X26" s="105"/>
      <c r="Y26" s="105"/>
      <c r="Z26" s="105"/>
      <c r="AA26" s="105">
        <f t="shared" si="3"/>
        <v>155003.59874999998</v>
      </c>
      <c r="AB26" s="105">
        <f t="shared" si="4"/>
        <v>1860.0431849999995</v>
      </c>
    </row>
    <row r="27" spans="1:28" s="147" customFormat="1" ht="25.5" x14ac:dyDescent="0.2">
      <c r="A27" s="77">
        <v>15</v>
      </c>
      <c r="B27" s="142" t="s">
        <v>201</v>
      </c>
      <c r="C27" s="142" t="s">
        <v>202</v>
      </c>
      <c r="D27" s="146" t="s">
        <v>37</v>
      </c>
      <c r="E27" s="77">
        <v>0.5</v>
      </c>
      <c r="F27" s="146" t="s">
        <v>37</v>
      </c>
      <c r="G27" s="77" t="s">
        <v>323</v>
      </c>
      <c r="H27" s="75" t="s">
        <v>372</v>
      </c>
      <c r="I27" s="113">
        <v>4.75</v>
      </c>
      <c r="J27" s="104">
        <v>17697</v>
      </c>
      <c r="K27" s="76">
        <v>1.75</v>
      </c>
      <c r="L27" s="104">
        <f t="shared" si="0"/>
        <v>73553.15625</v>
      </c>
      <c r="M27" s="104"/>
      <c r="N27" s="104">
        <f t="shared" si="1"/>
        <v>73553.15625</v>
      </c>
      <c r="O27" s="104">
        <f t="shared" si="2"/>
        <v>7355.3156250000002</v>
      </c>
      <c r="P27" s="104"/>
      <c r="Q27" s="153"/>
      <c r="R27" s="153"/>
      <c r="S27" s="105"/>
      <c r="T27" s="153"/>
      <c r="U27" s="105"/>
      <c r="V27" s="105"/>
      <c r="W27" s="105"/>
      <c r="X27" s="105"/>
      <c r="Y27" s="105"/>
      <c r="Z27" s="105"/>
      <c r="AA27" s="105">
        <f t="shared" si="3"/>
        <v>80908.471875000003</v>
      </c>
      <c r="AB27" s="105">
        <f t="shared" si="4"/>
        <v>970.90166250000004</v>
      </c>
    </row>
    <row r="28" spans="1:28" s="147" customFormat="1" ht="25.5" x14ac:dyDescent="0.2">
      <c r="A28" s="77">
        <v>16</v>
      </c>
      <c r="B28" s="142" t="s">
        <v>203</v>
      </c>
      <c r="C28" s="142" t="s">
        <v>202</v>
      </c>
      <c r="D28" s="146" t="s">
        <v>37</v>
      </c>
      <c r="E28" s="77">
        <v>1</v>
      </c>
      <c r="F28" s="146" t="s">
        <v>37</v>
      </c>
      <c r="G28" s="77" t="s">
        <v>323</v>
      </c>
      <c r="H28" s="75" t="s">
        <v>372</v>
      </c>
      <c r="I28" s="113">
        <v>4.75</v>
      </c>
      <c r="J28" s="104">
        <v>17697</v>
      </c>
      <c r="K28" s="76">
        <v>1.75</v>
      </c>
      <c r="L28" s="104">
        <f t="shared" si="0"/>
        <v>147106.3125</v>
      </c>
      <c r="M28" s="104"/>
      <c r="N28" s="104">
        <f t="shared" si="1"/>
        <v>147106.3125</v>
      </c>
      <c r="O28" s="104">
        <f t="shared" si="2"/>
        <v>14710.63125</v>
      </c>
      <c r="P28" s="104"/>
      <c r="Q28" s="153"/>
      <c r="R28" s="153"/>
      <c r="S28" s="105"/>
      <c r="T28" s="153"/>
      <c r="U28" s="105"/>
      <c r="V28" s="105"/>
      <c r="W28" s="105"/>
      <c r="X28" s="105"/>
      <c r="Y28" s="105"/>
      <c r="Z28" s="105"/>
      <c r="AA28" s="105">
        <f t="shared" si="3"/>
        <v>161816.94375000001</v>
      </c>
      <c r="AB28" s="105">
        <f t="shared" si="4"/>
        <v>1941.8033250000001</v>
      </c>
    </row>
    <row r="29" spans="1:28" s="147" customFormat="1" ht="38.25" x14ac:dyDescent="0.2">
      <c r="A29" s="77">
        <v>17</v>
      </c>
      <c r="B29" s="142" t="s">
        <v>204</v>
      </c>
      <c r="C29" s="142" t="s">
        <v>205</v>
      </c>
      <c r="D29" s="146" t="s">
        <v>347</v>
      </c>
      <c r="E29" s="77">
        <v>1</v>
      </c>
      <c r="F29" s="146" t="s">
        <v>37</v>
      </c>
      <c r="G29" s="77" t="s">
        <v>176</v>
      </c>
      <c r="H29" s="75" t="s">
        <v>373</v>
      </c>
      <c r="I29" s="113">
        <v>5.99</v>
      </c>
      <c r="J29" s="104">
        <v>17697</v>
      </c>
      <c r="K29" s="76">
        <v>2.63</v>
      </c>
      <c r="L29" s="104">
        <f t="shared" si="0"/>
        <v>278793.22889999999</v>
      </c>
      <c r="M29" s="104"/>
      <c r="N29" s="104">
        <f t="shared" si="1"/>
        <v>278793.22889999999</v>
      </c>
      <c r="O29" s="104">
        <f t="shared" si="2"/>
        <v>27879.322889999999</v>
      </c>
      <c r="P29" s="104"/>
      <c r="Q29" s="153"/>
      <c r="R29" s="153"/>
      <c r="S29" s="105"/>
      <c r="T29" s="153"/>
      <c r="U29" s="105"/>
      <c r="V29" s="105"/>
      <c r="W29" s="105"/>
      <c r="X29" s="105"/>
      <c r="Y29" s="105"/>
      <c r="Z29" s="105"/>
      <c r="AA29" s="105">
        <f t="shared" si="3"/>
        <v>306672.55179</v>
      </c>
      <c r="AB29" s="105">
        <f t="shared" si="4"/>
        <v>3680.0706214800002</v>
      </c>
    </row>
    <row r="30" spans="1:28" s="147" customFormat="1" ht="38.25" x14ac:dyDescent="0.2">
      <c r="A30" s="77">
        <v>18</v>
      </c>
      <c r="B30" s="142" t="s">
        <v>206</v>
      </c>
      <c r="C30" s="142" t="s">
        <v>207</v>
      </c>
      <c r="D30" s="146" t="s">
        <v>348</v>
      </c>
      <c r="E30" s="77">
        <v>0.5</v>
      </c>
      <c r="F30" s="146" t="s">
        <v>37</v>
      </c>
      <c r="G30" s="77" t="s">
        <v>324</v>
      </c>
      <c r="H30" s="75" t="s">
        <v>374</v>
      </c>
      <c r="I30" s="113">
        <v>4.46</v>
      </c>
      <c r="J30" s="104">
        <v>17697</v>
      </c>
      <c r="K30" s="76">
        <v>1.95</v>
      </c>
      <c r="L30" s="104">
        <f t="shared" si="0"/>
        <v>76955.40449999999</v>
      </c>
      <c r="M30" s="104"/>
      <c r="N30" s="104">
        <f t="shared" si="1"/>
        <v>76955.40449999999</v>
      </c>
      <c r="O30" s="104">
        <f t="shared" si="2"/>
        <v>7695.5404499999995</v>
      </c>
      <c r="P30" s="104"/>
      <c r="Q30" s="153"/>
      <c r="R30" s="153"/>
      <c r="S30" s="105"/>
      <c r="T30" s="153"/>
      <c r="U30" s="105"/>
      <c r="V30" s="105"/>
      <c r="W30" s="105"/>
      <c r="X30" s="105"/>
      <c r="Y30" s="105"/>
      <c r="Z30" s="105"/>
      <c r="AA30" s="105">
        <f t="shared" si="3"/>
        <v>84650.94494999999</v>
      </c>
      <c r="AB30" s="105">
        <f t="shared" si="4"/>
        <v>1015.8113394</v>
      </c>
    </row>
    <row r="31" spans="1:28" s="147" customFormat="1" ht="38.25" x14ac:dyDescent="0.2">
      <c r="A31" s="77">
        <v>19</v>
      </c>
      <c r="B31" s="142" t="s">
        <v>206</v>
      </c>
      <c r="C31" s="142" t="s">
        <v>208</v>
      </c>
      <c r="D31" s="146" t="s">
        <v>348</v>
      </c>
      <c r="E31" s="77">
        <v>1</v>
      </c>
      <c r="F31" s="103"/>
      <c r="G31" s="77" t="s">
        <v>325</v>
      </c>
      <c r="H31" s="75" t="s">
        <v>369</v>
      </c>
      <c r="I31" s="113">
        <v>3.41</v>
      </c>
      <c r="J31" s="104">
        <v>17697</v>
      </c>
      <c r="K31" s="76">
        <v>1.95</v>
      </c>
      <c r="L31" s="104">
        <f t="shared" si="0"/>
        <v>117676.20150000001</v>
      </c>
      <c r="M31" s="104"/>
      <c r="N31" s="104">
        <f t="shared" si="1"/>
        <v>117676.20150000001</v>
      </c>
      <c r="O31" s="104">
        <f t="shared" si="2"/>
        <v>11767.620150000002</v>
      </c>
      <c r="P31" s="104"/>
      <c r="Q31" s="153"/>
      <c r="R31" s="153"/>
      <c r="S31" s="105"/>
      <c r="T31" s="153"/>
      <c r="U31" s="105"/>
      <c r="V31" s="105"/>
      <c r="W31" s="105"/>
      <c r="X31" s="105"/>
      <c r="Y31" s="105"/>
      <c r="Z31" s="105"/>
      <c r="AA31" s="105">
        <f t="shared" si="3"/>
        <v>129443.82165000001</v>
      </c>
      <c r="AB31" s="105">
        <f t="shared" si="4"/>
        <v>1553.3258598000002</v>
      </c>
    </row>
    <row r="32" spans="1:28" s="147" customFormat="1" ht="25.5" x14ac:dyDescent="0.2">
      <c r="A32" s="77">
        <v>20</v>
      </c>
      <c r="B32" s="142" t="s">
        <v>209</v>
      </c>
      <c r="C32" s="142" t="s">
        <v>210</v>
      </c>
      <c r="D32" s="146" t="s">
        <v>37</v>
      </c>
      <c r="E32" s="77">
        <v>1</v>
      </c>
      <c r="F32" s="103"/>
      <c r="G32" s="77" t="s">
        <v>13</v>
      </c>
      <c r="H32" s="75" t="s">
        <v>375</v>
      </c>
      <c r="I32" s="113">
        <v>4</v>
      </c>
      <c r="J32" s="104">
        <v>17697</v>
      </c>
      <c r="K32" s="76">
        <v>1.23</v>
      </c>
      <c r="L32" s="104">
        <f t="shared" si="0"/>
        <v>87069.24</v>
      </c>
      <c r="M32" s="104"/>
      <c r="N32" s="104">
        <f t="shared" si="1"/>
        <v>87069.24</v>
      </c>
      <c r="O32" s="104">
        <f t="shared" si="2"/>
        <v>8706.9240000000009</v>
      </c>
      <c r="P32" s="104"/>
      <c r="Q32" s="153"/>
      <c r="R32" s="153"/>
      <c r="S32" s="105"/>
      <c r="T32" s="153"/>
      <c r="U32" s="105"/>
      <c r="V32" s="105"/>
      <c r="W32" s="105"/>
      <c r="X32" s="105"/>
      <c r="Y32" s="105"/>
      <c r="Z32" s="105"/>
      <c r="AA32" s="105">
        <f t="shared" si="3"/>
        <v>95776.164000000004</v>
      </c>
      <c r="AB32" s="105">
        <f t="shared" si="4"/>
        <v>1149.3139680000002</v>
      </c>
    </row>
    <row r="33" spans="1:28" s="147" customFormat="1" ht="25.5" x14ac:dyDescent="0.2">
      <c r="A33" s="77">
        <v>21</v>
      </c>
      <c r="B33" s="142" t="s">
        <v>209</v>
      </c>
      <c r="C33" s="142" t="s">
        <v>211</v>
      </c>
      <c r="D33" s="146" t="s">
        <v>37</v>
      </c>
      <c r="E33" s="77">
        <v>1</v>
      </c>
      <c r="F33" s="103"/>
      <c r="G33" s="77" t="s">
        <v>13</v>
      </c>
      <c r="H33" s="75" t="s">
        <v>376</v>
      </c>
      <c r="I33" s="113">
        <v>3.94</v>
      </c>
      <c r="J33" s="104">
        <v>17697</v>
      </c>
      <c r="K33" s="76">
        <v>1.23</v>
      </c>
      <c r="L33" s="104">
        <f t="shared" si="0"/>
        <v>85763.201399999991</v>
      </c>
      <c r="M33" s="104"/>
      <c r="N33" s="104">
        <f t="shared" si="1"/>
        <v>85763.201399999991</v>
      </c>
      <c r="O33" s="104">
        <f t="shared" si="2"/>
        <v>8576.3201399999998</v>
      </c>
      <c r="P33" s="104"/>
      <c r="Q33" s="154"/>
      <c r="R33" s="153"/>
      <c r="S33" s="105"/>
      <c r="T33" s="153"/>
      <c r="U33" s="105"/>
      <c r="V33" s="105"/>
      <c r="W33" s="105"/>
      <c r="X33" s="105"/>
      <c r="Y33" s="105"/>
      <c r="Z33" s="105"/>
      <c r="AA33" s="105">
        <f t="shared" si="3"/>
        <v>94339.521539999987</v>
      </c>
      <c r="AB33" s="105">
        <f t="shared" si="4"/>
        <v>1132.0742584799998</v>
      </c>
    </row>
    <row r="34" spans="1:28" s="147" customFormat="1" ht="25.5" x14ac:dyDescent="0.2">
      <c r="A34" s="77">
        <v>22</v>
      </c>
      <c r="B34" s="142" t="s">
        <v>209</v>
      </c>
      <c r="C34" s="142" t="s">
        <v>212</v>
      </c>
      <c r="D34" s="146" t="s">
        <v>37</v>
      </c>
      <c r="E34" s="77">
        <v>1</v>
      </c>
      <c r="F34" s="103"/>
      <c r="G34" s="77" t="s">
        <v>13</v>
      </c>
      <c r="H34" s="75" t="s">
        <v>377</v>
      </c>
      <c r="I34" s="113">
        <v>3.94</v>
      </c>
      <c r="J34" s="104">
        <v>17697</v>
      </c>
      <c r="K34" s="76">
        <v>1.23</v>
      </c>
      <c r="L34" s="104">
        <f t="shared" si="0"/>
        <v>85763.201399999991</v>
      </c>
      <c r="M34" s="104"/>
      <c r="N34" s="104">
        <f t="shared" si="1"/>
        <v>85763.201399999991</v>
      </c>
      <c r="O34" s="104">
        <f t="shared" si="2"/>
        <v>8576.3201399999998</v>
      </c>
      <c r="P34" s="104"/>
      <c r="Q34" s="153"/>
      <c r="R34" s="153"/>
      <c r="S34" s="105"/>
      <c r="T34" s="153"/>
      <c r="U34" s="105"/>
      <c r="V34" s="105"/>
      <c r="W34" s="105"/>
      <c r="X34" s="105"/>
      <c r="Y34" s="105"/>
      <c r="Z34" s="105"/>
      <c r="AA34" s="105">
        <f t="shared" si="3"/>
        <v>94339.521539999987</v>
      </c>
      <c r="AB34" s="105">
        <f t="shared" si="4"/>
        <v>1132.0742584799998</v>
      </c>
    </row>
    <row r="35" spans="1:28" s="147" customFormat="1" ht="25.5" x14ac:dyDescent="0.2">
      <c r="A35" s="77">
        <v>23</v>
      </c>
      <c r="B35" s="142" t="s">
        <v>209</v>
      </c>
      <c r="C35" s="142" t="s">
        <v>213</v>
      </c>
      <c r="D35" s="146" t="s">
        <v>37</v>
      </c>
      <c r="E35" s="77">
        <v>1</v>
      </c>
      <c r="F35" s="103"/>
      <c r="G35" s="77" t="s">
        <v>13</v>
      </c>
      <c r="H35" s="75" t="s">
        <v>357</v>
      </c>
      <c r="I35" s="113">
        <v>3.52</v>
      </c>
      <c r="J35" s="104">
        <v>17697</v>
      </c>
      <c r="K35" s="76">
        <v>1.23</v>
      </c>
      <c r="L35" s="104">
        <f t="shared" si="0"/>
        <v>76620.931200000006</v>
      </c>
      <c r="M35" s="104"/>
      <c r="N35" s="104">
        <f t="shared" si="1"/>
        <v>76620.931200000006</v>
      </c>
      <c r="O35" s="104">
        <f t="shared" si="2"/>
        <v>7662.0931200000014</v>
      </c>
      <c r="P35" s="104"/>
      <c r="Q35" s="153"/>
      <c r="R35" s="153"/>
      <c r="S35" s="105"/>
      <c r="T35" s="153"/>
      <c r="U35" s="105"/>
      <c r="V35" s="105"/>
      <c r="W35" s="105"/>
      <c r="X35" s="105"/>
      <c r="Y35" s="105"/>
      <c r="Z35" s="105"/>
      <c r="AA35" s="105">
        <f t="shared" si="3"/>
        <v>84283.024320000011</v>
      </c>
      <c r="AB35" s="105">
        <f t="shared" si="4"/>
        <v>1011.3962918400001</v>
      </c>
    </row>
    <row r="36" spans="1:28" s="147" customFormat="1" ht="38.25" x14ac:dyDescent="0.2">
      <c r="A36" s="77">
        <v>24</v>
      </c>
      <c r="B36" s="143" t="s">
        <v>209</v>
      </c>
      <c r="C36" s="142" t="s">
        <v>214</v>
      </c>
      <c r="D36" s="146" t="s">
        <v>37</v>
      </c>
      <c r="E36" s="77">
        <v>1</v>
      </c>
      <c r="F36" s="103"/>
      <c r="G36" s="77" t="s">
        <v>13</v>
      </c>
      <c r="H36" s="76" t="s">
        <v>378</v>
      </c>
      <c r="I36" s="113">
        <v>3.85</v>
      </c>
      <c r="J36" s="104">
        <v>17697</v>
      </c>
      <c r="K36" s="76">
        <v>1.23</v>
      </c>
      <c r="L36" s="104">
        <f t="shared" si="0"/>
        <v>83804.143499999991</v>
      </c>
      <c r="M36" s="104"/>
      <c r="N36" s="104">
        <f t="shared" si="1"/>
        <v>83804.143499999991</v>
      </c>
      <c r="O36" s="104">
        <f t="shared" si="2"/>
        <v>8380.4143499999991</v>
      </c>
      <c r="P36" s="104"/>
      <c r="Q36" s="153"/>
      <c r="R36" s="153"/>
      <c r="S36" s="105"/>
      <c r="T36" s="153"/>
      <c r="U36" s="105"/>
      <c r="V36" s="105"/>
      <c r="W36" s="105"/>
      <c r="X36" s="105"/>
      <c r="Y36" s="105"/>
      <c r="Z36" s="105"/>
      <c r="AA36" s="105">
        <f t="shared" si="3"/>
        <v>92184.557849999983</v>
      </c>
      <c r="AB36" s="105">
        <f t="shared" si="4"/>
        <v>1106.2146941999997</v>
      </c>
    </row>
    <row r="37" spans="1:28" s="147" customFormat="1" ht="25.5" x14ac:dyDescent="0.2">
      <c r="A37" s="77">
        <v>25</v>
      </c>
      <c r="B37" s="142" t="s">
        <v>209</v>
      </c>
      <c r="C37" s="142" t="s">
        <v>215</v>
      </c>
      <c r="D37" s="146" t="s">
        <v>37</v>
      </c>
      <c r="E37" s="77">
        <v>1</v>
      </c>
      <c r="F37" s="103"/>
      <c r="G37" s="77" t="s">
        <v>13</v>
      </c>
      <c r="H37" s="76" t="s">
        <v>379</v>
      </c>
      <c r="I37" s="113">
        <v>3.94</v>
      </c>
      <c r="J37" s="104">
        <v>17697</v>
      </c>
      <c r="K37" s="76">
        <v>1.23</v>
      </c>
      <c r="L37" s="104">
        <f t="shared" si="0"/>
        <v>85763.201399999991</v>
      </c>
      <c r="M37" s="104"/>
      <c r="N37" s="104">
        <f t="shared" si="1"/>
        <v>85763.201399999991</v>
      </c>
      <c r="O37" s="104">
        <f t="shared" si="2"/>
        <v>8576.3201399999998</v>
      </c>
      <c r="P37" s="104"/>
      <c r="Q37" s="153"/>
      <c r="R37" s="153"/>
      <c r="S37" s="105"/>
      <c r="T37" s="153"/>
      <c r="U37" s="105"/>
      <c r="V37" s="105"/>
      <c r="W37" s="105"/>
      <c r="X37" s="105"/>
      <c r="Y37" s="105"/>
      <c r="Z37" s="105"/>
      <c r="AA37" s="105">
        <f t="shared" si="3"/>
        <v>94339.521539999987</v>
      </c>
      <c r="AB37" s="105">
        <f t="shared" si="4"/>
        <v>1132.0742584799998</v>
      </c>
    </row>
    <row r="38" spans="1:28" s="147" customFormat="1" ht="25.5" x14ac:dyDescent="0.2">
      <c r="A38" s="77">
        <v>26</v>
      </c>
      <c r="B38" s="142" t="s">
        <v>216</v>
      </c>
      <c r="C38" s="142" t="s">
        <v>217</v>
      </c>
      <c r="D38" s="146" t="s">
        <v>37</v>
      </c>
      <c r="E38" s="77">
        <v>1</v>
      </c>
      <c r="F38" s="103"/>
      <c r="G38" s="77" t="s">
        <v>12</v>
      </c>
      <c r="H38" s="75" t="s">
        <v>380</v>
      </c>
      <c r="I38" s="113">
        <v>5.31</v>
      </c>
      <c r="J38" s="104">
        <v>17697</v>
      </c>
      <c r="K38" s="76">
        <v>1.75</v>
      </c>
      <c r="L38" s="104">
        <f t="shared" si="0"/>
        <v>164449.3725</v>
      </c>
      <c r="M38" s="104"/>
      <c r="N38" s="104">
        <f t="shared" si="1"/>
        <v>164449.3725</v>
      </c>
      <c r="O38" s="104">
        <f t="shared" si="2"/>
        <v>16444.937249999999</v>
      </c>
      <c r="P38" s="104"/>
      <c r="Q38" s="153"/>
      <c r="R38" s="153"/>
      <c r="S38" s="105"/>
      <c r="T38" s="153"/>
      <c r="U38" s="105"/>
      <c r="V38" s="105"/>
      <c r="W38" s="105"/>
      <c r="X38" s="105"/>
      <c r="Y38" s="105"/>
      <c r="Z38" s="105"/>
      <c r="AA38" s="105">
        <f t="shared" si="3"/>
        <v>180894.30974999999</v>
      </c>
      <c r="AB38" s="105">
        <f t="shared" si="4"/>
        <v>2170.7317169999997</v>
      </c>
    </row>
    <row r="39" spans="1:28" s="147" customFormat="1" ht="25.5" x14ac:dyDescent="0.2">
      <c r="A39" s="77">
        <v>27</v>
      </c>
      <c r="B39" s="142" t="s">
        <v>218</v>
      </c>
      <c r="C39" s="142" t="s">
        <v>188</v>
      </c>
      <c r="D39" s="146" t="s">
        <v>37</v>
      </c>
      <c r="E39" s="77">
        <v>0.5</v>
      </c>
      <c r="F39" s="103" t="s">
        <v>37</v>
      </c>
      <c r="G39" s="77" t="s">
        <v>12</v>
      </c>
      <c r="H39" s="75" t="s">
        <v>381</v>
      </c>
      <c r="I39" s="113">
        <v>5.31</v>
      </c>
      <c r="J39" s="104">
        <v>17697</v>
      </c>
      <c r="K39" s="76">
        <v>1.23</v>
      </c>
      <c r="L39" s="104">
        <f t="shared" si="0"/>
        <v>57792.208049999994</v>
      </c>
      <c r="M39" s="104"/>
      <c r="N39" s="104">
        <f t="shared" si="1"/>
        <v>57792.208049999994</v>
      </c>
      <c r="O39" s="104">
        <f t="shared" si="2"/>
        <v>5779.2208049999999</v>
      </c>
      <c r="P39" s="104"/>
      <c r="Q39" s="153"/>
      <c r="R39" s="153"/>
      <c r="S39" s="105"/>
      <c r="T39" s="153"/>
      <c r="U39" s="105"/>
      <c r="V39" s="105"/>
      <c r="W39" s="105"/>
      <c r="X39" s="105"/>
      <c r="Y39" s="105"/>
      <c r="Z39" s="105"/>
      <c r="AA39" s="105">
        <f t="shared" si="3"/>
        <v>63571.428854999991</v>
      </c>
      <c r="AB39" s="105">
        <f t="shared" si="4"/>
        <v>762.85714625999981</v>
      </c>
    </row>
    <row r="40" spans="1:28" s="147" customFormat="1" ht="25.5" x14ac:dyDescent="0.2">
      <c r="A40" s="77">
        <v>28</v>
      </c>
      <c r="B40" s="142" t="s">
        <v>218</v>
      </c>
      <c r="C40" s="142" t="s">
        <v>219</v>
      </c>
      <c r="D40" s="146" t="s">
        <v>37</v>
      </c>
      <c r="E40" s="77">
        <v>0.5</v>
      </c>
      <c r="F40" s="103"/>
      <c r="G40" s="77" t="s">
        <v>12</v>
      </c>
      <c r="H40" s="75" t="s">
        <v>382</v>
      </c>
      <c r="I40" s="113">
        <v>4.8600000000000003</v>
      </c>
      <c r="J40" s="104">
        <v>17697</v>
      </c>
      <c r="K40" s="76">
        <v>1.23</v>
      </c>
      <c r="L40" s="104">
        <f t="shared" si="0"/>
        <v>52894.563300000009</v>
      </c>
      <c r="M40" s="104"/>
      <c r="N40" s="104">
        <f t="shared" si="1"/>
        <v>52894.563300000009</v>
      </c>
      <c r="O40" s="104">
        <f t="shared" si="2"/>
        <v>5289.4563300000009</v>
      </c>
      <c r="P40" s="104"/>
      <c r="Q40" s="153"/>
      <c r="R40" s="153"/>
      <c r="S40" s="105"/>
      <c r="T40" s="153"/>
      <c r="U40" s="105"/>
      <c r="V40" s="105"/>
      <c r="W40" s="105"/>
      <c r="X40" s="105"/>
      <c r="Y40" s="105"/>
      <c r="Z40" s="105"/>
      <c r="AA40" s="105">
        <f t="shared" si="3"/>
        <v>58184.01963000001</v>
      </c>
      <c r="AB40" s="105">
        <f t="shared" si="4"/>
        <v>698.20823556000016</v>
      </c>
    </row>
    <row r="41" spans="1:28" s="147" customFormat="1" ht="25.5" x14ac:dyDescent="0.2">
      <c r="A41" s="77">
        <v>29</v>
      </c>
      <c r="B41" s="142" t="s">
        <v>220</v>
      </c>
      <c r="C41" s="142" t="s">
        <v>221</v>
      </c>
      <c r="D41" s="146" t="s">
        <v>37</v>
      </c>
      <c r="E41" s="77">
        <v>1</v>
      </c>
      <c r="F41" s="103" t="s">
        <v>70</v>
      </c>
      <c r="G41" s="77" t="s">
        <v>11</v>
      </c>
      <c r="H41" s="75" t="s">
        <v>382</v>
      </c>
      <c r="I41" s="113">
        <v>4.46</v>
      </c>
      <c r="J41" s="104">
        <v>17697</v>
      </c>
      <c r="K41" s="76">
        <v>1.23</v>
      </c>
      <c r="L41" s="104">
        <f t="shared" si="0"/>
        <v>97082.20259999999</v>
      </c>
      <c r="M41" s="104"/>
      <c r="N41" s="104">
        <f t="shared" si="1"/>
        <v>97082.20259999999</v>
      </c>
      <c r="O41" s="104">
        <f t="shared" si="2"/>
        <v>9708.2202600000001</v>
      </c>
      <c r="P41" s="104"/>
      <c r="Q41" s="153">
        <f>17697*30%</f>
        <v>5309.0999999999995</v>
      </c>
      <c r="R41" s="153"/>
      <c r="S41" s="105"/>
      <c r="T41" s="153"/>
      <c r="U41" s="105"/>
      <c r="V41" s="105"/>
      <c r="W41" s="105"/>
      <c r="X41" s="105"/>
      <c r="Y41" s="105"/>
      <c r="Z41" s="105"/>
      <c r="AA41" s="105">
        <f t="shared" si="3"/>
        <v>112099.52286</v>
      </c>
      <c r="AB41" s="105">
        <f t="shared" si="4"/>
        <v>1345.1942743199997</v>
      </c>
    </row>
    <row r="42" spans="1:28" s="147" customFormat="1" ht="25.5" x14ac:dyDescent="0.2">
      <c r="A42" s="77">
        <v>30</v>
      </c>
      <c r="B42" s="143" t="s">
        <v>222</v>
      </c>
      <c r="C42" s="142" t="s">
        <v>223</v>
      </c>
      <c r="D42" s="146" t="s">
        <v>37</v>
      </c>
      <c r="E42" s="77">
        <v>1</v>
      </c>
      <c r="F42" s="103"/>
      <c r="G42" s="77" t="s">
        <v>11</v>
      </c>
      <c r="H42" s="75" t="s">
        <v>383</v>
      </c>
      <c r="I42" s="113">
        <v>4.2300000000000004</v>
      </c>
      <c r="J42" s="104">
        <v>17697</v>
      </c>
      <c r="K42" s="76">
        <v>1.23</v>
      </c>
      <c r="L42" s="104">
        <f t="shared" si="0"/>
        <v>92075.721300000019</v>
      </c>
      <c r="M42" s="104"/>
      <c r="N42" s="104">
        <f t="shared" si="1"/>
        <v>92075.721300000019</v>
      </c>
      <c r="O42" s="104">
        <f t="shared" si="2"/>
        <v>9207.5721300000023</v>
      </c>
      <c r="P42" s="104"/>
      <c r="Q42" s="153"/>
      <c r="R42" s="153"/>
      <c r="S42" s="105"/>
      <c r="T42" s="153"/>
      <c r="U42" s="105"/>
      <c r="V42" s="105"/>
      <c r="W42" s="105"/>
      <c r="X42" s="105"/>
      <c r="Y42" s="105"/>
      <c r="Z42" s="105"/>
      <c r="AA42" s="105">
        <f t="shared" si="3"/>
        <v>101283.29343000002</v>
      </c>
      <c r="AB42" s="105">
        <f t="shared" si="4"/>
        <v>1215.3995211600002</v>
      </c>
    </row>
    <row r="43" spans="1:28" s="147" customFormat="1" ht="25.5" x14ac:dyDescent="0.2">
      <c r="A43" s="77">
        <v>31</v>
      </c>
      <c r="B43" s="142" t="s">
        <v>224</v>
      </c>
      <c r="C43" s="142" t="s">
        <v>225</v>
      </c>
      <c r="D43" s="146" t="s">
        <v>37</v>
      </c>
      <c r="E43" s="77">
        <v>1</v>
      </c>
      <c r="F43" s="103"/>
      <c r="G43" s="77" t="s">
        <v>11</v>
      </c>
      <c r="H43" s="156" t="s">
        <v>362</v>
      </c>
      <c r="I43" s="113">
        <v>4.46</v>
      </c>
      <c r="J43" s="104">
        <v>17697</v>
      </c>
      <c r="K43" s="76">
        <v>1.23</v>
      </c>
      <c r="L43" s="104">
        <f t="shared" si="0"/>
        <v>97082.20259999999</v>
      </c>
      <c r="M43" s="104"/>
      <c r="N43" s="104">
        <f t="shared" si="1"/>
        <v>97082.20259999999</v>
      </c>
      <c r="O43" s="104">
        <f t="shared" si="2"/>
        <v>9708.2202600000001</v>
      </c>
      <c r="P43" s="104"/>
      <c r="Q43" s="153"/>
      <c r="R43" s="153"/>
      <c r="S43" s="105"/>
      <c r="T43" s="153"/>
      <c r="U43" s="105"/>
      <c r="V43" s="105"/>
      <c r="W43" s="105"/>
      <c r="X43" s="105"/>
      <c r="Y43" s="105"/>
      <c r="Z43" s="105"/>
      <c r="AA43" s="105">
        <f t="shared" si="3"/>
        <v>106790.42285999999</v>
      </c>
      <c r="AB43" s="105">
        <f t="shared" si="4"/>
        <v>1281.48507432</v>
      </c>
    </row>
    <row r="44" spans="1:28" s="147" customFormat="1" ht="38.25" x14ac:dyDescent="0.2">
      <c r="A44" s="77">
        <v>32</v>
      </c>
      <c r="B44" s="142" t="s">
        <v>226</v>
      </c>
      <c r="C44" s="142" t="s">
        <v>227</v>
      </c>
      <c r="D44" s="146" t="s">
        <v>37</v>
      </c>
      <c r="E44" s="77">
        <v>1</v>
      </c>
      <c r="F44" s="103"/>
      <c r="G44" s="77" t="s">
        <v>321</v>
      </c>
      <c r="H44" s="75" t="s">
        <v>384</v>
      </c>
      <c r="I44" s="113">
        <v>4.46</v>
      </c>
      <c r="J44" s="104">
        <v>17697</v>
      </c>
      <c r="K44" s="76">
        <v>1.23</v>
      </c>
      <c r="L44" s="104">
        <f t="shared" si="0"/>
        <v>97082.20259999999</v>
      </c>
      <c r="M44" s="104"/>
      <c r="N44" s="104">
        <f t="shared" si="1"/>
        <v>97082.20259999999</v>
      </c>
      <c r="O44" s="104">
        <f t="shared" si="2"/>
        <v>9708.2202600000001</v>
      </c>
      <c r="P44" s="104"/>
      <c r="Q44" s="153"/>
      <c r="R44" s="153"/>
      <c r="S44" s="105"/>
      <c r="T44" s="153"/>
      <c r="U44" s="105"/>
      <c r="V44" s="105"/>
      <c r="W44" s="105"/>
      <c r="X44" s="105"/>
      <c r="Y44" s="105"/>
      <c r="Z44" s="105"/>
      <c r="AA44" s="105">
        <f t="shared" si="3"/>
        <v>106790.42285999999</v>
      </c>
      <c r="AB44" s="105">
        <f t="shared" si="4"/>
        <v>1281.48507432</v>
      </c>
    </row>
    <row r="45" spans="1:28" s="147" customFormat="1" ht="38.25" x14ac:dyDescent="0.2">
      <c r="A45" s="77">
        <v>33</v>
      </c>
      <c r="B45" s="142" t="s">
        <v>228</v>
      </c>
      <c r="C45" s="142" t="s">
        <v>227</v>
      </c>
      <c r="D45" s="146" t="s">
        <v>37</v>
      </c>
      <c r="E45" s="77">
        <v>0.5</v>
      </c>
      <c r="F45" s="103"/>
      <c r="G45" s="141" t="s">
        <v>14</v>
      </c>
      <c r="H45" s="75" t="s">
        <v>379</v>
      </c>
      <c r="I45" s="114">
        <v>3.16</v>
      </c>
      <c r="J45" s="104">
        <v>17697</v>
      </c>
      <c r="K45" s="76">
        <v>1.23</v>
      </c>
      <c r="L45" s="104">
        <f t="shared" si="0"/>
        <v>34392.349800000004</v>
      </c>
      <c r="M45" s="104"/>
      <c r="N45" s="104">
        <f t="shared" si="1"/>
        <v>34392.349800000004</v>
      </c>
      <c r="O45" s="104">
        <f t="shared" si="2"/>
        <v>3439.2349800000006</v>
      </c>
      <c r="P45" s="104"/>
      <c r="Q45" s="153"/>
      <c r="R45" s="153"/>
      <c r="S45" s="105"/>
      <c r="T45" s="153"/>
      <c r="U45" s="105"/>
      <c r="V45" s="105"/>
      <c r="W45" s="105"/>
      <c r="X45" s="105"/>
      <c r="Y45" s="105"/>
      <c r="Z45" s="105"/>
      <c r="AA45" s="105">
        <f t="shared" si="3"/>
        <v>37831.584780000005</v>
      </c>
      <c r="AB45" s="105">
        <f t="shared" si="4"/>
        <v>453.97901736000006</v>
      </c>
    </row>
    <row r="46" spans="1:28" s="147" customFormat="1" ht="25.5" x14ac:dyDescent="0.2">
      <c r="A46" s="77">
        <v>34</v>
      </c>
      <c r="B46" s="142" t="s">
        <v>228</v>
      </c>
      <c r="C46" s="142" t="s">
        <v>229</v>
      </c>
      <c r="D46" s="146" t="s">
        <v>37</v>
      </c>
      <c r="E46" s="77">
        <v>0.5</v>
      </c>
      <c r="F46" s="103"/>
      <c r="G46" s="77" t="s">
        <v>14</v>
      </c>
      <c r="H46" s="75" t="s">
        <v>385</v>
      </c>
      <c r="I46" s="113">
        <v>3.12</v>
      </c>
      <c r="J46" s="104">
        <v>17697</v>
      </c>
      <c r="K46" s="76">
        <v>1.23</v>
      </c>
      <c r="L46" s="104">
        <f t="shared" si="0"/>
        <v>33957.003599999996</v>
      </c>
      <c r="M46" s="104"/>
      <c r="N46" s="104">
        <f t="shared" si="1"/>
        <v>33957.003599999996</v>
      </c>
      <c r="O46" s="104">
        <f t="shared" si="2"/>
        <v>3395.7003599999998</v>
      </c>
      <c r="P46" s="104"/>
      <c r="Q46" s="153"/>
      <c r="R46" s="153"/>
      <c r="S46" s="105"/>
      <c r="T46" s="153"/>
      <c r="U46" s="105"/>
      <c r="V46" s="105"/>
      <c r="W46" s="105"/>
      <c r="X46" s="105"/>
      <c r="Y46" s="105"/>
      <c r="Z46" s="105"/>
      <c r="AA46" s="105">
        <f t="shared" si="3"/>
        <v>37352.703959999999</v>
      </c>
      <c r="AB46" s="105">
        <f t="shared" si="4"/>
        <v>448.23244751999999</v>
      </c>
    </row>
    <row r="47" spans="1:28" s="147" customFormat="1" ht="25.5" x14ac:dyDescent="0.2">
      <c r="A47" s="77">
        <v>35</v>
      </c>
      <c r="B47" s="142" t="s">
        <v>230</v>
      </c>
      <c r="C47" s="142" t="s">
        <v>231</v>
      </c>
      <c r="D47" s="146" t="s">
        <v>37</v>
      </c>
      <c r="E47" s="77">
        <v>1</v>
      </c>
      <c r="F47" s="103"/>
      <c r="G47" s="77" t="s">
        <v>14</v>
      </c>
      <c r="H47" s="75" t="s">
        <v>379</v>
      </c>
      <c r="I47" s="113">
        <v>3.16</v>
      </c>
      <c r="J47" s="104">
        <v>17697</v>
      </c>
      <c r="K47" s="76">
        <v>1.23</v>
      </c>
      <c r="L47" s="104">
        <f t="shared" si="0"/>
        <v>68784.699600000007</v>
      </c>
      <c r="M47" s="104"/>
      <c r="N47" s="104">
        <f t="shared" si="1"/>
        <v>68784.699600000007</v>
      </c>
      <c r="O47" s="104">
        <f t="shared" si="2"/>
        <v>6878.4699600000013</v>
      </c>
      <c r="P47" s="104"/>
      <c r="Q47" s="153"/>
      <c r="R47" s="153"/>
      <c r="S47" s="105"/>
      <c r="T47" s="153"/>
      <c r="U47" s="105"/>
      <c r="V47" s="105"/>
      <c r="W47" s="105"/>
      <c r="X47" s="105"/>
      <c r="Y47" s="105"/>
      <c r="Z47" s="105"/>
      <c r="AA47" s="105">
        <f t="shared" si="3"/>
        <v>75663.169560000009</v>
      </c>
      <c r="AB47" s="105">
        <f t="shared" si="4"/>
        <v>907.95803472000011</v>
      </c>
    </row>
    <row r="48" spans="1:28" s="147" customFormat="1" ht="25.5" x14ac:dyDescent="0.2">
      <c r="A48" s="77">
        <v>36</v>
      </c>
      <c r="B48" s="142" t="s">
        <v>232</v>
      </c>
      <c r="C48" s="142" t="s">
        <v>233</v>
      </c>
      <c r="D48" s="146" t="s">
        <v>37</v>
      </c>
      <c r="E48" s="77">
        <v>1</v>
      </c>
      <c r="F48" s="146" t="s">
        <v>37</v>
      </c>
      <c r="G48" s="77" t="s">
        <v>326</v>
      </c>
      <c r="H48" s="75" t="s">
        <v>386</v>
      </c>
      <c r="I48" s="113">
        <v>4.75</v>
      </c>
      <c r="J48" s="104">
        <v>17697</v>
      </c>
      <c r="K48" s="76">
        <v>1.75</v>
      </c>
      <c r="L48" s="104">
        <f t="shared" si="0"/>
        <v>147106.3125</v>
      </c>
      <c r="M48" s="104"/>
      <c r="N48" s="104">
        <f t="shared" si="1"/>
        <v>147106.3125</v>
      </c>
      <c r="O48" s="104">
        <f t="shared" si="2"/>
        <v>14710.63125</v>
      </c>
      <c r="P48" s="104"/>
      <c r="Q48" s="153"/>
      <c r="R48" s="153"/>
      <c r="S48" s="105"/>
      <c r="T48" s="153"/>
      <c r="U48" s="105"/>
      <c r="V48" s="105"/>
      <c r="W48" s="105"/>
      <c r="X48" s="105">
        <f>N48*40%</f>
        <v>58842.525000000001</v>
      </c>
      <c r="Y48" s="105"/>
      <c r="Z48" s="105"/>
      <c r="AA48" s="105">
        <f t="shared" si="3"/>
        <v>220659.46875</v>
      </c>
      <c r="AB48" s="105">
        <f t="shared" si="4"/>
        <v>2647.9136250000001</v>
      </c>
    </row>
    <row r="49" spans="1:28" s="147" customFormat="1" ht="25.5" x14ac:dyDescent="0.2">
      <c r="A49" s="77">
        <v>37</v>
      </c>
      <c r="B49" s="142" t="s">
        <v>232</v>
      </c>
      <c r="C49" s="142" t="s">
        <v>234</v>
      </c>
      <c r="D49" s="146" t="s">
        <v>37</v>
      </c>
      <c r="E49" s="77">
        <v>1</v>
      </c>
      <c r="F49" s="146" t="s">
        <v>37</v>
      </c>
      <c r="G49" s="77" t="s">
        <v>326</v>
      </c>
      <c r="H49" s="75" t="s">
        <v>387</v>
      </c>
      <c r="I49" s="113">
        <v>4.75</v>
      </c>
      <c r="J49" s="104">
        <v>17697</v>
      </c>
      <c r="K49" s="76">
        <v>1.75</v>
      </c>
      <c r="L49" s="104">
        <f t="shared" si="0"/>
        <v>147106.3125</v>
      </c>
      <c r="M49" s="104"/>
      <c r="N49" s="104">
        <f t="shared" si="1"/>
        <v>147106.3125</v>
      </c>
      <c r="O49" s="104">
        <f t="shared" si="2"/>
        <v>14710.63125</v>
      </c>
      <c r="P49" s="104"/>
      <c r="Q49" s="153"/>
      <c r="R49" s="153"/>
      <c r="S49" s="105"/>
      <c r="T49" s="153"/>
      <c r="U49" s="105"/>
      <c r="V49" s="105"/>
      <c r="W49" s="105"/>
      <c r="X49" s="105"/>
      <c r="Y49" s="105"/>
      <c r="Z49" s="105"/>
      <c r="AA49" s="105">
        <f t="shared" si="3"/>
        <v>161816.94375000001</v>
      </c>
      <c r="AB49" s="105">
        <f t="shared" si="4"/>
        <v>1941.8033250000001</v>
      </c>
    </row>
    <row r="50" spans="1:28" s="147" customFormat="1" ht="25.5" x14ac:dyDescent="0.2">
      <c r="A50" s="77">
        <v>38</v>
      </c>
      <c r="B50" s="142" t="s">
        <v>232</v>
      </c>
      <c r="C50" s="142" t="s">
        <v>235</v>
      </c>
      <c r="D50" s="146" t="s">
        <v>37</v>
      </c>
      <c r="E50" s="77">
        <v>1</v>
      </c>
      <c r="F50" s="146" t="s">
        <v>37</v>
      </c>
      <c r="G50" s="103" t="s">
        <v>326</v>
      </c>
      <c r="H50" s="156" t="s">
        <v>388</v>
      </c>
      <c r="I50" s="157">
        <v>4.62</v>
      </c>
      <c r="J50" s="104">
        <v>17697</v>
      </c>
      <c r="K50" s="76">
        <v>1.75</v>
      </c>
      <c r="L50" s="104">
        <f t="shared" si="0"/>
        <v>143080.245</v>
      </c>
      <c r="M50" s="104"/>
      <c r="N50" s="104">
        <f t="shared" si="1"/>
        <v>143080.245</v>
      </c>
      <c r="O50" s="104">
        <f t="shared" si="2"/>
        <v>14308.0245</v>
      </c>
      <c r="P50" s="104"/>
      <c r="Q50" s="153"/>
      <c r="R50" s="153"/>
      <c r="S50" s="105"/>
      <c r="T50" s="153"/>
      <c r="U50" s="105"/>
      <c r="V50" s="105"/>
      <c r="W50" s="105"/>
      <c r="X50" s="105"/>
      <c r="Y50" s="105"/>
      <c r="Z50" s="105"/>
      <c r="AA50" s="105">
        <f t="shared" si="3"/>
        <v>157388.26949999999</v>
      </c>
      <c r="AB50" s="105">
        <f t="shared" si="4"/>
        <v>1888.659234</v>
      </c>
    </row>
    <row r="51" spans="1:28" s="147" customFormat="1" ht="38.25" x14ac:dyDescent="0.2">
      <c r="A51" s="77">
        <v>39</v>
      </c>
      <c r="B51" s="142" t="s">
        <v>232</v>
      </c>
      <c r="C51" s="142" t="s">
        <v>236</v>
      </c>
      <c r="D51" s="146" t="s">
        <v>37</v>
      </c>
      <c r="E51" s="77">
        <v>1</v>
      </c>
      <c r="F51" s="146" t="s">
        <v>37</v>
      </c>
      <c r="G51" s="77" t="s">
        <v>326</v>
      </c>
      <c r="H51" s="75" t="s">
        <v>389</v>
      </c>
      <c r="I51" s="113">
        <v>4.62</v>
      </c>
      <c r="J51" s="104">
        <v>17697</v>
      </c>
      <c r="K51" s="76">
        <v>1.75</v>
      </c>
      <c r="L51" s="104">
        <f t="shared" si="0"/>
        <v>143080.245</v>
      </c>
      <c r="M51" s="104"/>
      <c r="N51" s="104">
        <f t="shared" si="1"/>
        <v>143080.245</v>
      </c>
      <c r="O51" s="104">
        <f t="shared" si="2"/>
        <v>14308.0245</v>
      </c>
      <c r="P51" s="104"/>
      <c r="Q51" s="153"/>
      <c r="R51" s="153"/>
      <c r="S51" s="105"/>
      <c r="T51" s="153"/>
      <c r="U51" s="105"/>
      <c r="V51" s="105"/>
      <c r="W51" s="105"/>
      <c r="X51" s="105"/>
      <c r="Y51" s="105"/>
      <c r="Z51" s="105"/>
      <c r="AA51" s="105">
        <f t="shared" si="3"/>
        <v>157388.26949999999</v>
      </c>
      <c r="AB51" s="105">
        <f t="shared" si="4"/>
        <v>1888.659234</v>
      </c>
    </row>
    <row r="52" spans="1:28" s="147" customFormat="1" ht="25.5" x14ac:dyDescent="0.2">
      <c r="A52" s="77">
        <v>40</v>
      </c>
      <c r="B52" s="142" t="s">
        <v>232</v>
      </c>
      <c r="C52" s="142" t="s">
        <v>237</v>
      </c>
      <c r="D52" s="146" t="s">
        <v>37</v>
      </c>
      <c r="E52" s="77">
        <v>1</v>
      </c>
      <c r="F52" s="146" t="s">
        <v>37</v>
      </c>
      <c r="G52" s="77" t="s">
        <v>326</v>
      </c>
      <c r="H52" s="75" t="s">
        <v>390</v>
      </c>
      <c r="I52" s="113">
        <v>4.55</v>
      </c>
      <c r="J52" s="104">
        <v>17697</v>
      </c>
      <c r="K52" s="76">
        <v>1.75</v>
      </c>
      <c r="L52" s="104">
        <f t="shared" si="0"/>
        <v>140912.36249999999</v>
      </c>
      <c r="M52" s="104"/>
      <c r="N52" s="104">
        <f t="shared" si="1"/>
        <v>140912.36249999999</v>
      </c>
      <c r="O52" s="104">
        <f t="shared" si="2"/>
        <v>14091.23625</v>
      </c>
      <c r="P52" s="104"/>
      <c r="Q52" s="153"/>
      <c r="R52" s="153"/>
      <c r="S52" s="105"/>
      <c r="T52" s="153"/>
      <c r="U52" s="105"/>
      <c r="V52" s="105"/>
      <c r="W52" s="105"/>
      <c r="X52" s="105">
        <f>N52*40%</f>
        <v>56364.945</v>
      </c>
      <c r="Y52" s="105"/>
      <c r="Z52" s="105"/>
      <c r="AA52" s="105">
        <f t="shared" si="3"/>
        <v>211368.54374999998</v>
      </c>
      <c r="AB52" s="105">
        <f t="shared" si="4"/>
        <v>2536.422525</v>
      </c>
    </row>
    <row r="53" spans="1:28" s="147" customFormat="1" ht="25.5" x14ac:dyDescent="0.2">
      <c r="A53" s="77">
        <v>41</v>
      </c>
      <c r="B53" s="142" t="s">
        <v>232</v>
      </c>
      <c r="C53" s="142" t="s">
        <v>238</v>
      </c>
      <c r="D53" s="146" t="s">
        <v>37</v>
      </c>
      <c r="E53" s="77">
        <v>1</v>
      </c>
      <c r="F53" s="146" t="s">
        <v>37</v>
      </c>
      <c r="G53" s="77" t="s">
        <v>326</v>
      </c>
      <c r="H53" s="76" t="s">
        <v>391</v>
      </c>
      <c r="I53" s="113">
        <v>4.6900000000000004</v>
      </c>
      <c r="J53" s="104">
        <v>17697</v>
      </c>
      <c r="K53" s="76">
        <v>1.75</v>
      </c>
      <c r="L53" s="104">
        <f t="shared" si="0"/>
        <v>145248.1275</v>
      </c>
      <c r="M53" s="104"/>
      <c r="N53" s="104">
        <f t="shared" si="1"/>
        <v>145248.1275</v>
      </c>
      <c r="O53" s="104">
        <f t="shared" si="2"/>
        <v>14524.812750000001</v>
      </c>
      <c r="P53" s="104"/>
      <c r="Q53" s="153"/>
      <c r="R53" s="153"/>
      <c r="S53" s="105"/>
      <c r="T53" s="153"/>
      <c r="U53" s="105"/>
      <c r="V53" s="105"/>
      <c r="W53" s="105"/>
      <c r="X53" s="105">
        <f>N53*40%</f>
        <v>58099.251000000004</v>
      </c>
      <c r="Y53" s="105"/>
      <c r="Z53" s="105"/>
      <c r="AA53" s="105">
        <f t="shared" si="3"/>
        <v>217872.19125000003</v>
      </c>
      <c r="AB53" s="105">
        <f t="shared" si="4"/>
        <v>2614.4662950000002</v>
      </c>
    </row>
    <row r="54" spans="1:28" s="147" customFormat="1" ht="25.5" x14ac:dyDescent="0.2">
      <c r="A54" s="77">
        <v>42</v>
      </c>
      <c r="B54" s="142" t="s">
        <v>232</v>
      </c>
      <c r="C54" s="142" t="s">
        <v>239</v>
      </c>
      <c r="D54" s="146" t="s">
        <v>37</v>
      </c>
      <c r="E54" s="77">
        <v>1</v>
      </c>
      <c r="F54" s="146" t="s">
        <v>37</v>
      </c>
      <c r="G54" s="77" t="s">
        <v>326</v>
      </c>
      <c r="H54" s="75" t="s">
        <v>392</v>
      </c>
      <c r="I54" s="113">
        <v>4.62</v>
      </c>
      <c r="J54" s="104">
        <v>17697</v>
      </c>
      <c r="K54" s="76">
        <v>1.75</v>
      </c>
      <c r="L54" s="104">
        <f t="shared" si="0"/>
        <v>143080.245</v>
      </c>
      <c r="M54" s="104"/>
      <c r="N54" s="104">
        <f t="shared" si="1"/>
        <v>143080.245</v>
      </c>
      <c r="O54" s="104">
        <f t="shared" si="2"/>
        <v>14308.0245</v>
      </c>
      <c r="P54" s="104"/>
      <c r="Q54" s="153"/>
      <c r="R54" s="153"/>
      <c r="S54" s="105"/>
      <c r="T54" s="153"/>
      <c r="U54" s="105"/>
      <c r="V54" s="105"/>
      <c r="W54" s="105"/>
      <c r="X54" s="105">
        <f>N54*40%</f>
        <v>57232.097999999998</v>
      </c>
      <c r="Y54" s="105"/>
      <c r="Z54" s="105"/>
      <c r="AA54" s="105">
        <f t="shared" si="3"/>
        <v>214620.36749999999</v>
      </c>
      <c r="AB54" s="105">
        <f t="shared" si="4"/>
        <v>2575.4444100000001</v>
      </c>
    </row>
    <row r="55" spans="1:28" s="147" customFormat="1" ht="25.5" x14ac:dyDescent="0.2">
      <c r="A55" s="77">
        <v>43</v>
      </c>
      <c r="B55" s="142" t="s">
        <v>232</v>
      </c>
      <c r="C55" s="142" t="s">
        <v>240</v>
      </c>
      <c r="D55" s="146" t="s">
        <v>37</v>
      </c>
      <c r="E55" s="77">
        <v>1</v>
      </c>
      <c r="F55" s="146" t="s">
        <v>37</v>
      </c>
      <c r="G55" s="77" t="s">
        <v>326</v>
      </c>
      <c r="H55" s="75" t="s">
        <v>393</v>
      </c>
      <c r="I55" s="113">
        <v>4.62</v>
      </c>
      <c r="J55" s="104">
        <v>17697</v>
      </c>
      <c r="K55" s="76">
        <v>1.75</v>
      </c>
      <c r="L55" s="104">
        <f t="shared" si="0"/>
        <v>143080.245</v>
      </c>
      <c r="M55" s="104"/>
      <c r="N55" s="104">
        <f t="shared" si="1"/>
        <v>143080.245</v>
      </c>
      <c r="O55" s="104">
        <f t="shared" si="2"/>
        <v>14308.0245</v>
      </c>
      <c r="P55" s="104"/>
      <c r="Q55" s="153"/>
      <c r="R55" s="153"/>
      <c r="S55" s="105"/>
      <c r="T55" s="153"/>
      <c r="U55" s="105"/>
      <c r="V55" s="105"/>
      <c r="W55" s="105"/>
      <c r="X55" s="105">
        <f>N55*40%</f>
        <v>57232.097999999998</v>
      </c>
      <c r="Y55" s="105"/>
      <c r="Z55" s="105"/>
      <c r="AA55" s="105">
        <f t="shared" si="3"/>
        <v>214620.36749999999</v>
      </c>
      <c r="AB55" s="105">
        <f t="shared" si="4"/>
        <v>2575.4444100000001</v>
      </c>
    </row>
    <row r="56" spans="1:28" s="147" customFormat="1" ht="25.5" x14ac:dyDescent="0.2">
      <c r="A56" s="77">
        <v>44</v>
      </c>
      <c r="B56" s="142" t="s">
        <v>232</v>
      </c>
      <c r="C56" s="142" t="s">
        <v>241</v>
      </c>
      <c r="D56" s="146" t="s">
        <v>37</v>
      </c>
      <c r="E56" s="77">
        <v>1</v>
      </c>
      <c r="F56" s="146" t="s">
        <v>69</v>
      </c>
      <c r="G56" s="77" t="s">
        <v>327</v>
      </c>
      <c r="H56" s="75" t="s">
        <v>394</v>
      </c>
      <c r="I56" s="113">
        <v>4.37</v>
      </c>
      <c r="J56" s="104">
        <v>17697</v>
      </c>
      <c r="K56" s="76">
        <v>1.75</v>
      </c>
      <c r="L56" s="104">
        <f t="shared" si="0"/>
        <v>135337.8075</v>
      </c>
      <c r="M56" s="104"/>
      <c r="N56" s="104">
        <f t="shared" si="1"/>
        <v>135337.8075</v>
      </c>
      <c r="O56" s="104">
        <f t="shared" si="2"/>
        <v>13533.78075</v>
      </c>
      <c r="P56" s="104"/>
      <c r="Q56" s="153"/>
      <c r="R56" s="153"/>
      <c r="S56" s="105"/>
      <c r="T56" s="153"/>
      <c r="U56" s="105"/>
      <c r="V56" s="105"/>
      <c r="W56" s="105"/>
      <c r="X56" s="105"/>
      <c r="Y56" s="105"/>
      <c r="Z56" s="105"/>
      <c r="AA56" s="105">
        <f t="shared" si="3"/>
        <v>148871.58825</v>
      </c>
      <c r="AB56" s="105">
        <f t="shared" si="4"/>
        <v>1786.4590589999998</v>
      </c>
    </row>
    <row r="57" spans="1:28" s="147" customFormat="1" ht="38.25" x14ac:dyDescent="0.2">
      <c r="A57" s="77">
        <v>45</v>
      </c>
      <c r="B57" s="142" t="s">
        <v>232</v>
      </c>
      <c r="C57" s="142" t="s">
        <v>242</v>
      </c>
      <c r="D57" s="146" t="s">
        <v>37</v>
      </c>
      <c r="E57" s="77">
        <v>1</v>
      </c>
      <c r="F57" s="146" t="s">
        <v>37</v>
      </c>
      <c r="G57" s="77" t="s">
        <v>326</v>
      </c>
      <c r="H57" s="75" t="s">
        <v>395</v>
      </c>
      <c r="I57" s="113">
        <v>4.62</v>
      </c>
      <c r="J57" s="104">
        <v>17697</v>
      </c>
      <c r="K57" s="76">
        <v>1.75</v>
      </c>
      <c r="L57" s="104">
        <f t="shared" si="0"/>
        <v>143080.245</v>
      </c>
      <c r="M57" s="104"/>
      <c r="N57" s="104">
        <f t="shared" si="1"/>
        <v>143080.245</v>
      </c>
      <c r="O57" s="104">
        <f t="shared" si="2"/>
        <v>14308.0245</v>
      </c>
      <c r="P57" s="104"/>
      <c r="Q57" s="153"/>
      <c r="R57" s="153"/>
      <c r="S57" s="105"/>
      <c r="T57" s="153"/>
      <c r="U57" s="105"/>
      <c r="V57" s="105"/>
      <c r="W57" s="105"/>
      <c r="X57" s="105">
        <f>N57*40%</f>
        <v>57232.097999999998</v>
      </c>
      <c r="Y57" s="105"/>
      <c r="Z57" s="105"/>
      <c r="AA57" s="105">
        <f t="shared" si="3"/>
        <v>214620.36749999999</v>
      </c>
      <c r="AB57" s="105">
        <f t="shared" si="4"/>
        <v>2575.4444100000001</v>
      </c>
    </row>
    <row r="58" spans="1:28" s="147" customFormat="1" ht="25.5" x14ac:dyDescent="0.2">
      <c r="A58" s="77">
        <v>46</v>
      </c>
      <c r="B58" s="142" t="s">
        <v>232</v>
      </c>
      <c r="C58" s="142" t="s">
        <v>243</v>
      </c>
      <c r="D58" s="146" t="s">
        <v>37</v>
      </c>
      <c r="E58" s="77">
        <v>1</v>
      </c>
      <c r="F58" s="146" t="s">
        <v>37</v>
      </c>
      <c r="G58" s="77" t="s">
        <v>326</v>
      </c>
      <c r="H58" s="75" t="s">
        <v>395</v>
      </c>
      <c r="I58" s="113">
        <v>4.62</v>
      </c>
      <c r="J58" s="104">
        <v>17697</v>
      </c>
      <c r="K58" s="76">
        <v>1.75</v>
      </c>
      <c r="L58" s="104">
        <f t="shared" si="0"/>
        <v>143080.245</v>
      </c>
      <c r="M58" s="104"/>
      <c r="N58" s="104">
        <f t="shared" si="1"/>
        <v>143080.245</v>
      </c>
      <c r="O58" s="104">
        <f t="shared" si="2"/>
        <v>14308.0245</v>
      </c>
      <c r="P58" s="104"/>
      <c r="Q58" s="153"/>
      <c r="R58" s="153"/>
      <c r="S58" s="105"/>
      <c r="T58" s="153"/>
      <c r="U58" s="105"/>
      <c r="V58" s="105"/>
      <c r="W58" s="105"/>
      <c r="X58" s="105">
        <f>N58*40%</f>
        <v>57232.097999999998</v>
      </c>
      <c r="Y58" s="105"/>
      <c r="Z58" s="105"/>
      <c r="AA58" s="105">
        <f t="shared" si="3"/>
        <v>214620.36749999999</v>
      </c>
      <c r="AB58" s="105">
        <f t="shared" si="4"/>
        <v>2575.4444100000001</v>
      </c>
    </row>
    <row r="59" spans="1:28" s="147" customFormat="1" ht="25.5" x14ac:dyDescent="0.2">
      <c r="A59" s="77">
        <v>47</v>
      </c>
      <c r="B59" s="142" t="s">
        <v>232</v>
      </c>
      <c r="C59" s="142" t="s">
        <v>244</v>
      </c>
      <c r="D59" s="146" t="s">
        <v>37</v>
      </c>
      <c r="E59" s="77">
        <v>1</v>
      </c>
      <c r="F59" s="146" t="s">
        <v>69</v>
      </c>
      <c r="G59" s="77" t="s">
        <v>327</v>
      </c>
      <c r="H59" s="75" t="s">
        <v>396</v>
      </c>
      <c r="I59" s="113">
        <v>4.3</v>
      </c>
      <c r="J59" s="104">
        <v>17697</v>
      </c>
      <c r="K59" s="76">
        <v>1.75</v>
      </c>
      <c r="L59" s="104">
        <f t="shared" si="0"/>
        <v>133169.92499999999</v>
      </c>
      <c r="M59" s="104"/>
      <c r="N59" s="104">
        <f t="shared" si="1"/>
        <v>133169.92499999999</v>
      </c>
      <c r="O59" s="104">
        <f t="shared" si="2"/>
        <v>13316.9925</v>
      </c>
      <c r="P59" s="104"/>
      <c r="Q59" s="153"/>
      <c r="R59" s="153"/>
      <c r="S59" s="105"/>
      <c r="T59" s="153"/>
      <c r="U59" s="105"/>
      <c r="V59" s="105"/>
      <c r="W59" s="105"/>
      <c r="X59" s="105"/>
      <c r="Y59" s="105"/>
      <c r="Z59" s="105"/>
      <c r="AA59" s="105">
        <f t="shared" si="3"/>
        <v>146486.91749999998</v>
      </c>
      <c r="AB59" s="105">
        <f t="shared" si="4"/>
        <v>1757.8430099999998</v>
      </c>
    </row>
    <row r="60" spans="1:28" s="147" customFormat="1" ht="25.5" x14ac:dyDescent="0.2">
      <c r="A60" s="77">
        <v>48</v>
      </c>
      <c r="B60" s="142" t="s">
        <v>232</v>
      </c>
      <c r="C60" s="142" t="s">
        <v>245</v>
      </c>
      <c r="D60" s="146" t="s">
        <v>37</v>
      </c>
      <c r="E60" s="77">
        <v>1</v>
      </c>
      <c r="F60" s="146" t="s">
        <v>69</v>
      </c>
      <c r="G60" s="77" t="s">
        <v>327</v>
      </c>
      <c r="H60" s="75" t="s">
        <v>397</v>
      </c>
      <c r="I60" s="113">
        <v>4.51</v>
      </c>
      <c r="J60" s="104">
        <v>17697</v>
      </c>
      <c r="K60" s="76">
        <v>1.75</v>
      </c>
      <c r="L60" s="104">
        <f t="shared" si="0"/>
        <v>139673.57250000001</v>
      </c>
      <c r="M60" s="104"/>
      <c r="N60" s="104">
        <f t="shared" si="1"/>
        <v>139673.57250000001</v>
      </c>
      <c r="O60" s="104">
        <f t="shared" si="2"/>
        <v>13967.357250000001</v>
      </c>
      <c r="P60" s="104"/>
      <c r="Q60" s="153"/>
      <c r="R60" s="153"/>
      <c r="S60" s="105"/>
      <c r="T60" s="153"/>
      <c r="U60" s="105"/>
      <c r="V60" s="105"/>
      <c r="W60" s="105">
        <f>L60*35%</f>
        <v>48885.750375000003</v>
      </c>
      <c r="X60" s="105"/>
      <c r="Y60" s="105"/>
      <c r="Z60" s="105"/>
      <c r="AA60" s="105">
        <f t="shared" si="3"/>
        <v>202526.68012500001</v>
      </c>
      <c r="AB60" s="105">
        <f t="shared" si="4"/>
        <v>2430.3201615000003</v>
      </c>
    </row>
    <row r="61" spans="1:28" s="147" customFormat="1" ht="25.5" x14ac:dyDescent="0.2">
      <c r="A61" s="77">
        <v>49</v>
      </c>
      <c r="B61" s="142" t="s">
        <v>232</v>
      </c>
      <c r="C61" s="142" t="s">
        <v>246</v>
      </c>
      <c r="D61" s="146" t="s">
        <v>37</v>
      </c>
      <c r="E61" s="77">
        <v>1</v>
      </c>
      <c r="F61" s="146" t="s">
        <v>70</v>
      </c>
      <c r="G61" s="77" t="s">
        <v>328</v>
      </c>
      <c r="H61" s="75" t="s">
        <v>393</v>
      </c>
      <c r="I61" s="113">
        <v>4.3600000000000003</v>
      </c>
      <c r="J61" s="104">
        <v>17697</v>
      </c>
      <c r="K61" s="76">
        <v>1.75</v>
      </c>
      <c r="L61" s="104">
        <f t="shared" si="0"/>
        <v>135028.11000000002</v>
      </c>
      <c r="M61" s="104"/>
      <c r="N61" s="104">
        <f t="shared" si="1"/>
        <v>135028.11000000002</v>
      </c>
      <c r="O61" s="104">
        <f t="shared" si="2"/>
        <v>13502.811000000002</v>
      </c>
      <c r="P61" s="104"/>
      <c r="Q61" s="153"/>
      <c r="R61" s="153"/>
      <c r="S61" s="105"/>
      <c r="T61" s="153"/>
      <c r="U61" s="105"/>
      <c r="V61" s="105"/>
      <c r="W61" s="105"/>
      <c r="X61" s="105"/>
      <c r="Y61" s="105"/>
      <c r="Z61" s="105"/>
      <c r="AA61" s="105">
        <f t="shared" si="3"/>
        <v>148530.92100000003</v>
      </c>
      <c r="AB61" s="105">
        <f t="shared" si="4"/>
        <v>1782.3710520000004</v>
      </c>
    </row>
    <row r="62" spans="1:28" s="147" customFormat="1" ht="25.5" x14ac:dyDescent="0.2">
      <c r="A62" s="77">
        <v>50</v>
      </c>
      <c r="B62" s="142" t="s">
        <v>232</v>
      </c>
      <c r="C62" s="142" t="s">
        <v>247</v>
      </c>
      <c r="D62" s="146" t="s">
        <v>37</v>
      </c>
      <c r="E62" s="77">
        <v>1</v>
      </c>
      <c r="F62" s="146" t="s">
        <v>69</v>
      </c>
      <c r="G62" s="77" t="s">
        <v>327</v>
      </c>
      <c r="H62" s="75" t="s">
        <v>396</v>
      </c>
      <c r="I62" s="113">
        <v>4.3</v>
      </c>
      <c r="J62" s="104">
        <v>17697</v>
      </c>
      <c r="K62" s="76">
        <v>1.75</v>
      </c>
      <c r="L62" s="104">
        <f t="shared" si="0"/>
        <v>133169.92499999999</v>
      </c>
      <c r="M62" s="104"/>
      <c r="N62" s="104">
        <f t="shared" si="1"/>
        <v>133169.92499999999</v>
      </c>
      <c r="O62" s="104">
        <f t="shared" si="2"/>
        <v>13316.9925</v>
      </c>
      <c r="P62" s="104"/>
      <c r="Q62" s="153"/>
      <c r="R62" s="153"/>
      <c r="S62" s="105"/>
      <c r="T62" s="153"/>
      <c r="U62" s="105"/>
      <c r="V62" s="105"/>
      <c r="W62" s="105">
        <f>L62*35%</f>
        <v>46609.47374999999</v>
      </c>
      <c r="X62" s="105"/>
      <c r="Y62" s="105"/>
      <c r="Z62" s="105"/>
      <c r="AA62" s="105">
        <f t="shared" si="3"/>
        <v>193096.39124999999</v>
      </c>
      <c r="AB62" s="105">
        <f t="shared" si="4"/>
        <v>2317.1566949999997</v>
      </c>
    </row>
    <row r="63" spans="1:28" s="147" customFormat="1" ht="25.5" x14ac:dyDescent="0.2">
      <c r="A63" s="77">
        <v>51</v>
      </c>
      <c r="B63" s="142" t="s">
        <v>232</v>
      </c>
      <c r="C63" s="142" t="s">
        <v>248</v>
      </c>
      <c r="D63" s="146" t="s">
        <v>37</v>
      </c>
      <c r="E63" s="77">
        <v>1</v>
      </c>
      <c r="F63" s="146" t="s">
        <v>70</v>
      </c>
      <c r="G63" s="77" t="s">
        <v>328</v>
      </c>
      <c r="H63" s="75" t="s">
        <v>398</v>
      </c>
      <c r="I63" s="113">
        <v>4.28</v>
      </c>
      <c r="J63" s="104">
        <v>17697</v>
      </c>
      <c r="K63" s="76">
        <v>1.75</v>
      </c>
      <c r="L63" s="104">
        <f t="shared" si="0"/>
        <v>132550.53</v>
      </c>
      <c r="M63" s="104"/>
      <c r="N63" s="104">
        <f t="shared" si="1"/>
        <v>132550.53</v>
      </c>
      <c r="O63" s="104">
        <f t="shared" si="2"/>
        <v>13255.053</v>
      </c>
      <c r="P63" s="104"/>
      <c r="Q63" s="153"/>
      <c r="R63" s="153"/>
      <c r="S63" s="105"/>
      <c r="T63" s="153"/>
      <c r="U63" s="105"/>
      <c r="V63" s="105"/>
      <c r="W63" s="105"/>
      <c r="X63" s="105"/>
      <c r="Y63" s="105"/>
      <c r="Z63" s="105"/>
      <c r="AA63" s="105">
        <f t="shared" si="3"/>
        <v>145805.58299999998</v>
      </c>
      <c r="AB63" s="105">
        <f t="shared" si="4"/>
        <v>1749.6669959999997</v>
      </c>
    </row>
    <row r="64" spans="1:28" s="147" customFormat="1" ht="25.5" x14ac:dyDescent="0.2">
      <c r="A64" s="77">
        <v>52</v>
      </c>
      <c r="B64" s="142" t="s">
        <v>232</v>
      </c>
      <c r="C64" s="142" t="s">
        <v>249</v>
      </c>
      <c r="D64" s="146" t="s">
        <v>37</v>
      </c>
      <c r="E64" s="77">
        <v>1</v>
      </c>
      <c r="F64" s="146" t="s">
        <v>70</v>
      </c>
      <c r="G64" s="77" t="s">
        <v>328</v>
      </c>
      <c r="H64" s="75" t="s">
        <v>399</v>
      </c>
      <c r="I64" s="113">
        <v>4.28</v>
      </c>
      <c r="J64" s="104">
        <v>17697</v>
      </c>
      <c r="K64" s="76">
        <v>1.75</v>
      </c>
      <c r="L64" s="104">
        <f t="shared" si="0"/>
        <v>132550.53</v>
      </c>
      <c r="M64" s="104"/>
      <c r="N64" s="104">
        <f t="shared" si="1"/>
        <v>132550.53</v>
      </c>
      <c r="O64" s="104">
        <f t="shared" si="2"/>
        <v>13255.053</v>
      </c>
      <c r="P64" s="104"/>
      <c r="Q64" s="153"/>
      <c r="R64" s="153"/>
      <c r="S64" s="105"/>
      <c r="T64" s="153"/>
      <c r="U64" s="105"/>
      <c r="V64" s="105"/>
      <c r="W64" s="105"/>
      <c r="X64" s="105"/>
      <c r="Y64" s="105"/>
      <c r="Z64" s="105"/>
      <c r="AA64" s="105">
        <f t="shared" si="3"/>
        <v>145805.58299999998</v>
      </c>
      <c r="AB64" s="105">
        <f t="shared" si="4"/>
        <v>1749.6669959999997</v>
      </c>
    </row>
    <row r="65" spans="1:28" s="147" customFormat="1" ht="38.25" x14ac:dyDescent="0.2">
      <c r="A65" s="77">
        <v>53</v>
      </c>
      <c r="B65" s="142" t="s">
        <v>232</v>
      </c>
      <c r="C65" s="142" t="s">
        <v>250</v>
      </c>
      <c r="D65" s="146" t="s">
        <v>37</v>
      </c>
      <c r="E65" s="77">
        <v>1</v>
      </c>
      <c r="F65" s="146"/>
      <c r="G65" s="77" t="s">
        <v>329</v>
      </c>
      <c r="H65" s="75" t="s">
        <v>400</v>
      </c>
      <c r="I65" s="113">
        <v>4</v>
      </c>
      <c r="J65" s="104">
        <v>17697</v>
      </c>
      <c r="K65" s="76">
        <v>1.75</v>
      </c>
      <c r="L65" s="104">
        <f t="shared" si="0"/>
        <v>123879</v>
      </c>
      <c r="M65" s="104"/>
      <c r="N65" s="104">
        <f t="shared" si="1"/>
        <v>123879</v>
      </c>
      <c r="O65" s="104">
        <f t="shared" si="2"/>
        <v>12387.900000000001</v>
      </c>
      <c r="P65" s="104"/>
      <c r="Q65" s="153"/>
      <c r="R65" s="153"/>
      <c r="S65" s="105"/>
      <c r="T65" s="153"/>
      <c r="U65" s="105"/>
      <c r="V65" s="105"/>
      <c r="W65" s="105"/>
      <c r="X65" s="105"/>
      <c r="Y65" s="105"/>
      <c r="Z65" s="105"/>
      <c r="AA65" s="105">
        <f t="shared" si="3"/>
        <v>136266.9</v>
      </c>
      <c r="AB65" s="105">
        <f t="shared" si="4"/>
        <v>1635.2027999999998</v>
      </c>
    </row>
    <row r="66" spans="1:28" s="147" customFormat="1" ht="38.25" x14ac:dyDescent="0.2">
      <c r="A66" s="77">
        <v>54</v>
      </c>
      <c r="B66" s="142" t="s">
        <v>232</v>
      </c>
      <c r="C66" s="142" t="s">
        <v>251</v>
      </c>
      <c r="D66" s="146" t="s">
        <v>37</v>
      </c>
      <c r="E66" s="77">
        <v>1</v>
      </c>
      <c r="F66" s="146" t="s">
        <v>69</v>
      </c>
      <c r="G66" s="77" t="s">
        <v>327</v>
      </c>
      <c r="H66" s="75" t="s">
        <v>390</v>
      </c>
      <c r="I66" s="113">
        <v>4.3</v>
      </c>
      <c r="J66" s="104">
        <v>17697</v>
      </c>
      <c r="K66" s="76">
        <v>1.75</v>
      </c>
      <c r="L66" s="104">
        <f t="shared" si="0"/>
        <v>133169.92499999999</v>
      </c>
      <c r="M66" s="104"/>
      <c r="N66" s="104">
        <f t="shared" si="1"/>
        <v>133169.92499999999</v>
      </c>
      <c r="O66" s="104">
        <f t="shared" si="2"/>
        <v>13316.9925</v>
      </c>
      <c r="P66" s="104"/>
      <c r="Q66" s="153"/>
      <c r="R66" s="153"/>
      <c r="S66" s="105"/>
      <c r="T66" s="153"/>
      <c r="U66" s="105"/>
      <c r="V66" s="105"/>
      <c r="W66" s="105">
        <f>L66*35%</f>
        <v>46609.47374999999</v>
      </c>
      <c r="X66" s="105"/>
      <c r="Y66" s="105"/>
      <c r="Z66" s="105"/>
      <c r="AA66" s="105">
        <f t="shared" si="3"/>
        <v>193096.39124999999</v>
      </c>
      <c r="AB66" s="105">
        <f t="shared" si="4"/>
        <v>2317.1566949999997</v>
      </c>
    </row>
    <row r="67" spans="1:28" s="147" customFormat="1" ht="25.5" x14ac:dyDescent="0.2">
      <c r="A67" s="77">
        <v>55</v>
      </c>
      <c r="B67" s="142" t="s">
        <v>232</v>
      </c>
      <c r="C67" s="142" t="s">
        <v>252</v>
      </c>
      <c r="D67" s="146" t="s">
        <v>37</v>
      </c>
      <c r="E67" s="77">
        <v>1</v>
      </c>
      <c r="F67" s="146"/>
      <c r="G67" s="77" t="s">
        <v>329</v>
      </c>
      <c r="H67" s="76" t="s">
        <v>371</v>
      </c>
      <c r="I67" s="113">
        <v>4</v>
      </c>
      <c r="J67" s="104">
        <v>17697</v>
      </c>
      <c r="K67" s="76">
        <v>1.75</v>
      </c>
      <c r="L67" s="104">
        <f t="shared" si="0"/>
        <v>123879</v>
      </c>
      <c r="M67" s="104"/>
      <c r="N67" s="104">
        <f t="shared" si="1"/>
        <v>123879</v>
      </c>
      <c r="O67" s="104">
        <f t="shared" si="2"/>
        <v>12387.900000000001</v>
      </c>
      <c r="P67" s="104"/>
      <c r="Q67" s="153"/>
      <c r="R67" s="153"/>
      <c r="S67" s="105"/>
      <c r="T67" s="153"/>
      <c r="U67" s="105"/>
      <c r="V67" s="105"/>
      <c r="W67" s="105"/>
      <c r="X67" s="105"/>
      <c r="Y67" s="105"/>
      <c r="Z67" s="105"/>
      <c r="AA67" s="105">
        <f t="shared" si="3"/>
        <v>136266.9</v>
      </c>
      <c r="AB67" s="105">
        <f t="shared" si="4"/>
        <v>1635.2027999999998</v>
      </c>
    </row>
    <row r="68" spans="1:28" s="147" customFormat="1" ht="25.5" x14ac:dyDescent="0.2">
      <c r="A68" s="77">
        <v>56</v>
      </c>
      <c r="B68" s="142" t="s">
        <v>232</v>
      </c>
      <c r="C68" s="142" t="s">
        <v>253</v>
      </c>
      <c r="D68" s="146" t="s">
        <v>37</v>
      </c>
      <c r="E68" s="77">
        <v>1</v>
      </c>
      <c r="F68" s="146" t="s">
        <v>69</v>
      </c>
      <c r="G68" s="77" t="s">
        <v>327</v>
      </c>
      <c r="H68" s="75" t="s">
        <v>379</v>
      </c>
      <c r="I68" s="113">
        <v>4.2300000000000004</v>
      </c>
      <c r="J68" s="104">
        <v>17697</v>
      </c>
      <c r="K68" s="76">
        <v>1.75</v>
      </c>
      <c r="L68" s="104">
        <f t="shared" si="0"/>
        <v>131002.04250000003</v>
      </c>
      <c r="M68" s="104"/>
      <c r="N68" s="104">
        <f t="shared" si="1"/>
        <v>131002.04250000003</v>
      </c>
      <c r="O68" s="104">
        <f t="shared" si="2"/>
        <v>13100.204250000003</v>
      </c>
      <c r="P68" s="104"/>
      <c r="Q68" s="153"/>
      <c r="R68" s="153"/>
      <c r="S68" s="105"/>
      <c r="T68" s="153"/>
      <c r="U68" s="105"/>
      <c r="V68" s="105"/>
      <c r="W68" s="105">
        <f>L68*35%</f>
        <v>45850.714875000005</v>
      </c>
      <c r="X68" s="105"/>
      <c r="Y68" s="105"/>
      <c r="Z68" s="105"/>
      <c r="AA68" s="105">
        <f t="shared" si="3"/>
        <v>189952.96162500003</v>
      </c>
      <c r="AB68" s="105">
        <f t="shared" si="4"/>
        <v>2279.4355395000002</v>
      </c>
    </row>
    <row r="69" spans="1:28" s="147" customFormat="1" ht="38.25" x14ac:dyDescent="0.2">
      <c r="A69" s="77">
        <v>57</v>
      </c>
      <c r="B69" s="142" t="s">
        <v>232</v>
      </c>
      <c r="C69" s="142" t="s">
        <v>254</v>
      </c>
      <c r="D69" s="146" t="s">
        <v>37</v>
      </c>
      <c r="E69" s="77">
        <v>1</v>
      </c>
      <c r="F69" s="146" t="s">
        <v>70</v>
      </c>
      <c r="G69" s="77" t="s">
        <v>328</v>
      </c>
      <c r="H69" s="75" t="s">
        <v>379</v>
      </c>
      <c r="I69" s="113">
        <v>4.21</v>
      </c>
      <c r="J69" s="104">
        <v>17697</v>
      </c>
      <c r="K69" s="76">
        <v>1.75</v>
      </c>
      <c r="L69" s="104">
        <f t="shared" si="0"/>
        <v>130382.64749999999</v>
      </c>
      <c r="M69" s="104"/>
      <c r="N69" s="104">
        <f t="shared" si="1"/>
        <v>130382.64749999999</v>
      </c>
      <c r="O69" s="104">
        <f t="shared" si="2"/>
        <v>13038.26475</v>
      </c>
      <c r="P69" s="104"/>
      <c r="Q69" s="153"/>
      <c r="R69" s="153"/>
      <c r="S69" s="105"/>
      <c r="T69" s="153"/>
      <c r="U69" s="105"/>
      <c r="V69" s="105"/>
      <c r="W69" s="105"/>
      <c r="X69" s="105"/>
      <c r="Y69" s="105"/>
      <c r="Z69" s="105"/>
      <c r="AA69" s="105">
        <f t="shared" si="3"/>
        <v>143420.91224999999</v>
      </c>
      <c r="AB69" s="105">
        <f t="shared" si="4"/>
        <v>1721.050947</v>
      </c>
    </row>
    <row r="70" spans="1:28" s="147" customFormat="1" ht="38.25" x14ac:dyDescent="0.2">
      <c r="A70" s="77">
        <v>58</v>
      </c>
      <c r="B70" s="142" t="s">
        <v>232</v>
      </c>
      <c r="C70" s="142" t="s">
        <v>255</v>
      </c>
      <c r="D70" s="146" t="s">
        <v>37</v>
      </c>
      <c r="E70" s="77">
        <v>1</v>
      </c>
      <c r="F70" s="146" t="s">
        <v>37</v>
      </c>
      <c r="G70" s="77" t="s">
        <v>326</v>
      </c>
      <c r="H70" s="75" t="s">
        <v>401</v>
      </c>
      <c r="I70" s="113">
        <v>4.49</v>
      </c>
      <c r="J70" s="104">
        <v>17697</v>
      </c>
      <c r="K70" s="76">
        <v>1.75</v>
      </c>
      <c r="L70" s="104">
        <f t="shared" si="0"/>
        <v>139054.17749999999</v>
      </c>
      <c r="M70" s="104"/>
      <c r="N70" s="104">
        <f t="shared" si="1"/>
        <v>139054.17749999999</v>
      </c>
      <c r="O70" s="104">
        <f t="shared" si="2"/>
        <v>13905.417750000001</v>
      </c>
      <c r="P70" s="104"/>
      <c r="Q70" s="153"/>
      <c r="R70" s="153"/>
      <c r="S70" s="105"/>
      <c r="T70" s="153"/>
      <c r="U70" s="105"/>
      <c r="V70" s="105"/>
      <c r="W70" s="105"/>
      <c r="X70" s="105">
        <f>N70*40%</f>
        <v>55621.671000000002</v>
      </c>
      <c r="Y70" s="105"/>
      <c r="Z70" s="105"/>
      <c r="AA70" s="105">
        <f t="shared" si="3"/>
        <v>208581.26624999999</v>
      </c>
      <c r="AB70" s="105">
        <f t="shared" si="4"/>
        <v>2502.975195</v>
      </c>
    </row>
    <row r="71" spans="1:28" s="147" customFormat="1" ht="38.25" x14ac:dyDescent="0.2">
      <c r="A71" s="77">
        <v>59</v>
      </c>
      <c r="B71" s="142" t="s">
        <v>232</v>
      </c>
      <c r="C71" s="142" t="s">
        <v>256</v>
      </c>
      <c r="D71" s="146" t="s">
        <v>37</v>
      </c>
      <c r="E71" s="77">
        <v>1</v>
      </c>
      <c r="F71" s="146" t="s">
        <v>69</v>
      </c>
      <c r="G71" s="77" t="s">
        <v>327</v>
      </c>
      <c r="H71" s="75" t="s">
        <v>402</v>
      </c>
      <c r="I71" s="113">
        <v>4.2300000000000004</v>
      </c>
      <c r="J71" s="104">
        <v>17697</v>
      </c>
      <c r="K71" s="76">
        <v>1.75</v>
      </c>
      <c r="L71" s="104">
        <f t="shared" si="0"/>
        <v>131002.04250000003</v>
      </c>
      <c r="M71" s="104"/>
      <c r="N71" s="104">
        <f t="shared" si="1"/>
        <v>131002.04250000003</v>
      </c>
      <c r="O71" s="104">
        <f t="shared" si="2"/>
        <v>13100.204250000003</v>
      </c>
      <c r="P71" s="104"/>
      <c r="Q71" s="153"/>
      <c r="R71" s="153"/>
      <c r="S71" s="105"/>
      <c r="T71" s="153"/>
      <c r="U71" s="105"/>
      <c r="V71" s="105"/>
      <c r="W71" s="105">
        <f>L71*35%</f>
        <v>45850.714875000005</v>
      </c>
      <c r="X71" s="105"/>
      <c r="Y71" s="105"/>
      <c r="Z71" s="105"/>
      <c r="AA71" s="105">
        <f t="shared" si="3"/>
        <v>189952.96162500003</v>
      </c>
      <c r="AB71" s="105">
        <f t="shared" si="4"/>
        <v>2279.4355395000002</v>
      </c>
    </row>
    <row r="72" spans="1:28" s="147" customFormat="1" ht="25.5" x14ac:dyDescent="0.2">
      <c r="A72" s="77">
        <v>60</v>
      </c>
      <c r="B72" s="142" t="s">
        <v>232</v>
      </c>
      <c r="C72" s="142" t="s">
        <v>136</v>
      </c>
      <c r="D72" s="146" t="s">
        <v>37</v>
      </c>
      <c r="E72" s="77">
        <v>1</v>
      </c>
      <c r="F72" s="146" t="s">
        <v>69</v>
      </c>
      <c r="G72" s="77" t="s">
        <v>327</v>
      </c>
      <c r="H72" s="75" t="s">
        <v>403</v>
      </c>
      <c r="I72" s="113">
        <v>4.16</v>
      </c>
      <c r="J72" s="104">
        <v>17697</v>
      </c>
      <c r="K72" s="76">
        <v>1.75</v>
      </c>
      <c r="L72" s="104">
        <f t="shared" si="0"/>
        <v>128834.16</v>
      </c>
      <c r="M72" s="104"/>
      <c r="N72" s="104">
        <f t="shared" si="1"/>
        <v>128834.16</v>
      </c>
      <c r="O72" s="104">
        <f t="shared" si="2"/>
        <v>12883.416000000001</v>
      </c>
      <c r="P72" s="104"/>
      <c r="Q72" s="153"/>
      <c r="R72" s="153"/>
      <c r="S72" s="105"/>
      <c r="T72" s="153"/>
      <c r="U72" s="105"/>
      <c r="V72" s="105"/>
      <c r="W72" s="105">
        <f>L72*35%</f>
        <v>45091.955999999998</v>
      </c>
      <c r="X72" s="105"/>
      <c r="Y72" s="105"/>
      <c r="Z72" s="105"/>
      <c r="AA72" s="105">
        <f t="shared" si="3"/>
        <v>186809.53200000001</v>
      </c>
      <c r="AB72" s="105">
        <f t="shared" si="4"/>
        <v>2241.7143839999999</v>
      </c>
    </row>
    <row r="73" spans="1:28" s="147" customFormat="1" ht="25.5" x14ac:dyDescent="0.2">
      <c r="A73" s="77">
        <v>61</v>
      </c>
      <c r="B73" s="142" t="s">
        <v>232</v>
      </c>
      <c r="C73" s="142" t="s">
        <v>257</v>
      </c>
      <c r="D73" s="146" t="s">
        <v>37</v>
      </c>
      <c r="E73" s="77">
        <v>1</v>
      </c>
      <c r="F73" s="146" t="s">
        <v>69</v>
      </c>
      <c r="G73" s="77" t="s">
        <v>327</v>
      </c>
      <c r="H73" s="75" t="s">
        <v>371</v>
      </c>
      <c r="I73" s="113">
        <v>4.3</v>
      </c>
      <c r="J73" s="104">
        <v>17697</v>
      </c>
      <c r="K73" s="76">
        <v>1.75</v>
      </c>
      <c r="L73" s="104">
        <f t="shared" si="0"/>
        <v>133169.92499999999</v>
      </c>
      <c r="M73" s="104"/>
      <c r="N73" s="104">
        <f t="shared" si="1"/>
        <v>133169.92499999999</v>
      </c>
      <c r="O73" s="104">
        <f t="shared" si="2"/>
        <v>13316.9925</v>
      </c>
      <c r="P73" s="104"/>
      <c r="Q73" s="153"/>
      <c r="R73" s="153"/>
      <c r="S73" s="105"/>
      <c r="T73" s="153"/>
      <c r="U73" s="105"/>
      <c r="V73" s="105"/>
      <c r="W73" s="105">
        <f>L73*35%</f>
        <v>46609.47374999999</v>
      </c>
      <c r="X73" s="105"/>
      <c r="Y73" s="105"/>
      <c r="Z73" s="105"/>
      <c r="AA73" s="105">
        <f t="shared" si="3"/>
        <v>193096.39124999999</v>
      </c>
      <c r="AB73" s="105">
        <f t="shared" si="4"/>
        <v>2317.1566949999997</v>
      </c>
    </row>
    <row r="74" spans="1:28" s="147" customFormat="1" ht="25.5" x14ac:dyDescent="0.2">
      <c r="A74" s="77">
        <v>62</v>
      </c>
      <c r="B74" s="142" t="s">
        <v>232</v>
      </c>
      <c r="C74" s="142" t="s">
        <v>258</v>
      </c>
      <c r="D74" s="146" t="s">
        <v>37</v>
      </c>
      <c r="E74" s="77">
        <v>1</v>
      </c>
      <c r="F74" s="146" t="s">
        <v>69</v>
      </c>
      <c r="G74" s="77" t="s">
        <v>327</v>
      </c>
      <c r="H74" s="76" t="s">
        <v>404</v>
      </c>
      <c r="I74" s="113">
        <v>4.2300000000000004</v>
      </c>
      <c r="J74" s="104">
        <v>17697</v>
      </c>
      <c r="K74" s="76">
        <v>1.75</v>
      </c>
      <c r="L74" s="104">
        <f t="shared" si="0"/>
        <v>131002.04250000003</v>
      </c>
      <c r="M74" s="104"/>
      <c r="N74" s="104">
        <f t="shared" si="1"/>
        <v>131002.04250000003</v>
      </c>
      <c r="O74" s="104">
        <f t="shared" si="2"/>
        <v>13100.204250000003</v>
      </c>
      <c r="P74" s="104"/>
      <c r="Q74" s="153"/>
      <c r="R74" s="153"/>
      <c r="S74" s="105"/>
      <c r="T74" s="153"/>
      <c r="U74" s="105"/>
      <c r="V74" s="105"/>
      <c r="W74" s="105">
        <f>L74*35%</f>
        <v>45850.714875000005</v>
      </c>
      <c r="X74" s="105"/>
      <c r="Y74" s="105"/>
      <c r="Z74" s="105"/>
      <c r="AA74" s="105">
        <f t="shared" si="3"/>
        <v>189952.96162500003</v>
      </c>
      <c r="AB74" s="105">
        <f t="shared" si="4"/>
        <v>2279.4355395000002</v>
      </c>
    </row>
    <row r="75" spans="1:28" s="147" customFormat="1" ht="25.5" x14ac:dyDescent="0.2">
      <c r="A75" s="77">
        <v>63</v>
      </c>
      <c r="B75" s="142" t="s">
        <v>232</v>
      </c>
      <c r="C75" s="142" t="s">
        <v>259</v>
      </c>
      <c r="D75" s="146" t="s">
        <v>37</v>
      </c>
      <c r="E75" s="77">
        <v>1</v>
      </c>
      <c r="F75" s="146" t="s">
        <v>70</v>
      </c>
      <c r="G75" s="77" t="s">
        <v>330</v>
      </c>
      <c r="H75" s="77" t="s">
        <v>405</v>
      </c>
      <c r="I75" s="115">
        <v>4.28</v>
      </c>
      <c r="J75" s="104">
        <v>17697</v>
      </c>
      <c r="K75" s="76">
        <v>1.75</v>
      </c>
      <c r="L75" s="104">
        <f t="shared" si="0"/>
        <v>132550.53</v>
      </c>
      <c r="M75" s="104"/>
      <c r="N75" s="104">
        <f t="shared" si="1"/>
        <v>132550.53</v>
      </c>
      <c r="O75" s="104">
        <f t="shared" si="2"/>
        <v>13255.053</v>
      </c>
      <c r="P75" s="104"/>
      <c r="Q75" s="153"/>
      <c r="R75" s="153"/>
      <c r="S75" s="105"/>
      <c r="T75" s="153"/>
      <c r="U75" s="105"/>
      <c r="V75" s="105">
        <f>L75*30%</f>
        <v>39765.159</v>
      </c>
      <c r="W75" s="105"/>
      <c r="X75" s="105"/>
      <c r="Y75" s="105"/>
      <c r="Z75" s="105"/>
      <c r="AA75" s="105">
        <f t="shared" si="3"/>
        <v>185570.74199999997</v>
      </c>
      <c r="AB75" s="105">
        <f t="shared" si="4"/>
        <v>2226.8489039999995</v>
      </c>
    </row>
    <row r="76" spans="1:28" s="147" customFormat="1" ht="25.5" x14ac:dyDescent="0.2">
      <c r="A76" s="77">
        <v>64</v>
      </c>
      <c r="B76" s="142" t="s">
        <v>260</v>
      </c>
      <c r="C76" s="142" t="s">
        <v>261</v>
      </c>
      <c r="D76" s="146" t="s">
        <v>37</v>
      </c>
      <c r="E76" s="77">
        <v>1</v>
      </c>
      <c r="F76" s="103"/>
      <c r="G76" s="77" t="s">
        <v>14</v>
      </c>
      <c r="H76" s="75" t="s">
        <v>406</v>
      </c>
      <c r="I76" s="113">
        <v>3.25</v>
      </c>
      <c r="J76" s="104">
        <v>17697</v>
      </c>
      <c r="K76" s="76">
        <v>1.23</v>
      </c>
      <c r="L76" s="104">
        <f t="shared" si="0"/>
        <v>70743.757499999992</v>
      </c>
      <c r="M76" s="104"/>
      <c r="N76" s="104">
        <f t="shared" si="1"/>
        <v>70743.757499999992</v>
      </c>
      <c r="O76" s="104">
        <f t="shared" si="2"/>
        <v>7074.3757499999992</v>
      </c>
      <c r="P76" s="104"/>
      <c r="Q76" s="153"/>
      <c r="R76" s="153"/>
      <c r="S76" s="105">
        <f>N76/20.42/2</f>
        <v>1732.2173726738488</v>
      </c>
      <c r="T76" s="105">
        <f>N76/20.42/8*243.33/2/4</f>
        <v>13171.889165397739</v>
      </c>
      <c r="U76" s="105"/>
      <c r="V76" s="105"/>
      <c r="W76" s="105"/>
      <c r="X76" s="105"/>
      <c r="Y76" s="105"/>
      <c r="Z76" s="105"/>
      <c r="AA76" s="105">
        <f t="shared" si="3"/>
        <v>92722.239788071573</v>
      </c>
      <c r="AB76" s="105">
        <f t="shared" si="4"/>
        <v>1112.6668774568589</v>
      </c>
    </row>
    <row r="77" spans="1:28" s="147" customFormat="1" ht="25.5" x14ac:dyDescent="0.2">
      <c r="A77" s="77">
        <v>65</v>
      </c>
      <c r="B77" s="142" t="s">
        <v>260</v>
      </c>
      <c r="C77" s="142" t="s">
        <v>262</v>
      </c>
      <c r="D77" s="146" t="s">
        <v>37</v>
      </c>
      <c r="E77" s="77">
        <v>1</v>
      </c>
      <c r="F77" s="103"/>
      <c r="G77" s="77" t="s">
        <v>14</v>
      </c>
      <c r="H77" s="75" t="s">
        <v>407</v>
      </c>
      <c r="I77" s="113">
        <v>3.25</v>
      </c>
      <c r="J77" s="104">
        <v>17697</v>
      </c>
      <c r="K77" s="76">
        <v>1.23</v>
      </c>
      <c r="L77" s="104">
        <f t="shared" si="0"/>
        <v>70743.757499999992</v>
      </c>
      <c r="M77" s="104"/>
      <c r="N77" s="104">
        <f t="shared" si="1"/>
        <v>70743.757499999992</v>
      </c>
      <c r="O77" s="104">
        <f t="shared" si="2"/>
        <v>7074.3757499999992</v>
      </c>
      <c r="P77" s="104"/>
      <c r="Q77" s="153"/>
      <c r="R77" s="153"/>
      <c r="S77" s="105">
        <f t="shared" ref="S77:S87" si="5">N77/20.42/2</f>
        <v>1732.2173726738488</v>
      </c>
      <c r="T77" s="105">
        <f t="shared" ref="T77:T87" si="6">N77/20.42/8*243.33/2/4</f>
        <v>13171.889165397739</v>
      </c>
      <c r="U77" s="105"/>
      <c r="V77" s="105"/>
      <c r="W77" s="105"/>
      <c r="X77" s="105"/>
      <c r="Y77" s="105"/>
      <c r="Z77" s="105"/>
      <c r="AA77" s="105">
        <f t="shared" si="3"/>
        <v>92722.239788071573</v>
      </c>
      <c r="AB77" s="105">
        <f t="shared" si="4"/>
        <v>1112.6668774568589</v>
      </c>
    </row>
    <row r="78" spans="1:28" s="147" customFormat="1" ht="25.5" x14ac:dyDescent="0.2">
      <c r="A78" s="77">
        <v>66</v>
      </c>
      <c r="B78" s="142" t="s">
        <v>260</v>
      </c>
      <c r="C78" s="142" t="s">
        <v>263</v>
      </c>
      <c r="D78" s="146" t="s">
        <v>37</v>
      </c>
      <c r="E78" s="77">
        <v>1</v>
      </c>
      <c r="F78" s="103"/>
      <c r="G78" s="77" t="s">
        <v>14</v>
      </c>
      <c r="H78" s="75" t="s">
        <v>359</v>
      </c>
      <c r="I78" s="113">
        <v>3.22</v>
      </c>
      <c r="J78" s="104">
        <v>17697</v>
      </c>
      <c r="K78" s="76">
        <v>1.23</v>
      </c>
      <c r="L78" s="104">
        <f t="shared" si="0"/>
        <v>70090.738200000007</v>
      </c>
      <c r="M78" s="104"/>
      <c r="N78" s="104">
        <f t="shared" ref="N78:N131" si="7">L78+M78</f>
        <v>70090.738200000007</v>
      </c>
      <c r="O78" s="104">
        <f t="shared" ref="O78:O131" si="8">N78*10%</f>
        <v>7009.0738200000014</v>
      </c>
      <c r="P78" s="104"/>
      <c r="Q78" s="153"/>
      <c r="R78" s="153"/>
      <c r="S78" s="105">
        <f t="shared" si="5"/>
        <v>1716.2276738491676</v>
      </c>
      <c r="T78" s="105">
        <f t="shared" si="6"/>
        <v>13050.302496178687</v>
      </c>
      <c r="U78" s="105"/>
      <c r="V78" s="105"/>
      <c r="W78" s="105"/>
      <c r="X78" s="105"/>
      <c r="Y78" s="105"/>
      <c r="Z78" s="105"/>
      <c r="AA78" s="105">
        <f t="shared" ref="AA78:AA131" si="9">SUM(N78:Z78)</f>
        <v>91866.342190027863</v>
      </c>
      <c r="AB78" s="105">
        <f t="shared" ref="AB78:AB131" si="10">AA78*12/1000</f>
        <v>1102.3961062803344</v>
      </c>
    </row>
    <row r="79" spans="1:28" s="147" customFormat="1" ht="25.5" x14ac:dyDescent="0.2">
      <c r="A79" s="77">
        <v>67</v>
      </c>
      <c r="B79" s="142" t="s">
        <v>260</v>
      </c>
      <c r="C79" s="142" t="s">
        <v>264</v>
      </c>
      <c r="D79" s="146" t="s">
        <v>37</v>
      </c>
      <c r="E79" s="77">
        <v>1</v>
      </c>
      <c r="F79" s="103"/>
      <c r="G79" s="77" t="s">
        <v>14</v>
      </c>
      <c r="H79" s="75" t="s">
        <v>408</v>
      </c>
      <c r="I79" s="113">
        <v>3.22</v>
      </c>
      <c r="J79" s="104">
        <v>17697</v>
      </c>
      <c r="K79" s="76">
        <v>1.23</v>
      </c>
      <c r="L79" s="104">
        <f t="shared" si="0"/>
        <v>70090.738200000007</v>
      </c>
      <c r="M79" s="104"/>
      <c r="N79" s="104">
        <f t="shared" si="7"/>
        <v>70090.738200000007</v>
      </c>
      <c r="O79" s="104">
        <f t="shared" si="8"/>
        <v>7009.0738200000014</v>
      </c>
      <c r="P79" s="104"/>
      <c r="Q79" s="153"/>
      <c r="R79" s="153"/>
      <c r="S79" s="105">
        <f t="shared" si="5"/>
        <v>1716.2276738491676</v>
      </c>
      <c r="T79" s="105">
        <f t="shared" si="6"/>
        <v>13050.302496178687</v>
      </c>
      <c r="U79" s="105"/>
      <c r="V79" s="105"/>
      <c r="W79" s="105"/>
      <c r="X79" s="105"/>
      <c r="Y79" s="105"/>
      <c r="Z79" s="105"/>
      <c r="AA79" s="105">
        <f t="shared" si="9"/>
        <v>91866.342190027863</v>
      </c>
      <c r="AB79" s="105">
        <f t="shared" si="10"/>
        <v>1102.3961062803344</v>
      </c>
    </row>
    <row r="80" spans="1:28" s="147" customFormat="1" ht="25.5" x14ac:dyDescent="0.2">
      <c r="A80" s="77">
        <v>68</v>
      </c>
      <c r="B80" s="142" t="s">
        <v>260</v>
      </c>
      <c r="C80" s="142" t="s">
        <v>265</v>
      </c>
      <c r="D80" s="146" t="s">
        <v>37</v>
      </c>
      <c r="E80" s="77">
        <v>1</v>
      </c>
      <c r="F80" s="103"/>
      <c r="G80" s="77" t="s">
        <v>14</v>
      </c>
      <c r="H80" s="75" t="s">
        <v>409</v>
      </c>
      <c r="I80" s="113">
        <v>3.19</v>
      </c>
      <c r="J80" s="104">
        <v>17697</v>
      </c>
      <c r="K80" s="76">
        <v>1.23</v>
      </c>
      <c r="L80" s="104">
        <f t="shared" si="0"/>
        <v>69437.718899999993</v>
      </c>
      <c r="M80" s="104"/>
      <c r="N80" s="104">
        <f t="shared" si="7"/>
        <v>69437.718899999993</v>
      </c>
      <c r="O80" s="104">
        <f t="shared" si="8"/>
        <v>6943.77189</v>
      </c>
      <c r="P80" s="104"/>
      <c r="Q80" s="153"/>
      <c r="R80" s="153"/>
      <c r="S80" s="105">
        <f t="shared" si="5"/>
        <v>1700.2379750244854</v>
      </c>
      <c r="T80" s="105">
        <f t="shared" si="6"/>
        <v>12928.715826959628</v>
      </c>
      <c r="U80" s="105"/>
      <c r="V80" s="105"/>
      <c r="W80" s="105"/>
      <c r="X80" s="105"/>
      <c r="Y80" s="105"/>
      <c r="Z80" s="105"/>
      <c r="AA80" s="105">
        <f t="shared" si="9"/>
        <v>91010.444591984109</v>
      </c>
      <c r="AB80" s="105">
        <f t="shared" si="10"/>
        <v>1092.1253351038094</v>
      </c>
    </row>
    <row r="81" spans="1:28" s="147" customFormat="1" ht="25.5" x14ac:dyDescent="0.2">
      <c r="A81" s="77">
        <v>69</v>
      </c>
      <c r="B81" s="142" t="s">
        <v>260</v>
      </c>
      <c r="C81" s="142" t="s">
        <v>266</v>
      </c>
      <c r="D81" s="146" t="s">
        <v>37</v>
      </c>
      <c r="E81" s="77">
        <v>1</v>
      </c>
      <c r="F81" s="103"/>
      <c r="G81" s="77" t="s">
        <v>14</v>
      </c>
      <c r="H81" s="75" t="s">
        <v>410</v>
      </c>
      <c r="I81" s="113">
        <v>3.22</v>
      </c>
      <c r="J81" s="104">
        <v>17697</v>
      </c>
      <c r="K81" s="76">
        <v>1.23</v>
      </c>
      <c r="L81" s="104">
        <f t="shared" si="0"/>
        <v>70090.738200000007</v>
      </c>
      <c r="M81" s="104"/>
      <c r="N81" s="104">
        <f t="shared" si="7"/>
        <v>70090.738200000007</v>
      </c>
      <c r="O81" s="104">
        <f t="shared" si="8"/>
        <v>7009.0738200000014</v>
      </c>
      <c r="P81" s="104"/>
      <c r="Q81" s="153"/>
      <c r="R81" s="153"/>
      <c r="S81" s="105">
        <f t="shared" si="5"/>
        <v>1716.2276738491676</v>
      </c>
      <c r="T81" s="105">
        <f t="shared" si="6"/>
        <v>13050.302496178687</v>
      </c>
      <c r="U81" s="105"/>
      <c r="V81" s="105"/>
      <c r="W81" s="105"/>
      <c r="X81" s="105"/>
      <c r="Y81" s="105"/>
      <c r="Z81" s="105"/>
      <c r="AA81" s="105">
        <f t="shared" si="9"/>
        <v>91866.342190027863</v>
      </c>
      <c r="AB81" s="105">
        <f t="shared" si="10"/>
        <v>1102.3961062803344</v>
      </c>
    </row>
    <row r="82" spans="1:28" s="147" customFormat="1" ht="25.5" x14ac:dyDescent="0.2">
      <c r="A82" s="77">
        <v>70</v>
      </c>
      <c r="B82" s="142" t="s">
        <v>260</v>
      </c>
      <c r="C82" s="142" t="s">
        <v>267</v>
      </c>
      <c r="D82" s="146" t="s">
        <v>349</v>
      </c>
      <c r="E82" s="77">
        <v>1</v>
      </c>
      <c r="F82" s="103"/>
      <c r="G82" s="77" t="s">
        <v>14</v>
      </c>
      <c r="H82" s="75" t="s">
        <v>390</v>
      </c>
      <c r="I82" s="113">
        <v>3.19</v>
      </c>
      <c r="J82" s="104">
        <v>17697</v>
      </c>
      <c r="K82" s="76">
        <v>1.23</v>
      </c>
      <c r="L82" s="104">
        <f t="shared" si="0"/>
        <v>69437.718899999993</v>
      </c>
      <c r="M82" s="104"/>
      <c r="N82" s="104">
        <f t="shared" si="7"/>
        <v>69437.718899999993</v>
      </c>
      <c r="O82" s="104">
        <f t="shared" si="8"/>
        <v>6943.77189</v>
      </c>
      <c r="P82" s="104"/>
      <c r="Q82" s="153"/>
      <c r="R82" s="153"/>
      <c r="S82" s="105">
        <f t="shared" si="5"/>
        <v>1700.2379750244854</v>
      </c>
      <c r="T82" s="105">
        <f t="shared" si="6"/>
        <v>12928.715826959628</v>
      </c>
      <c r="U82" s="105"/>
      <c r="V82" s="105"/>
      <c r="W82" s="105"/>
      <c r="X82" s="105"/>
      <c r="Y82" s="105"/>
      <c r="Z82" s="105"/>
      <c r="AA82" s="105">
        <f t="shared" si="9"/>
        <v>91010.444591984109</v>
      </c>
      <c r="AB82" s="105">
        <f t="shared" si="10"/>
        <v>1092.1253351038094</v>
      </c>
    </row>
    <row r="83" spans="1:28" s="147" customFormat="1" ht="25.5" x14ac:dyDescent="0.2">
      <c r="A83" s="77">
        <v>71</v>
      </c>
      <c r="B83" s="142" t="s">
        <v>260</v>
      </c>
      <c r="C83" s="142" t="s">
        <v>268</v>
      </c>
      <c r="D83" s="146" t="s">
        <v>350</v>
      </c>
      <c r="E83" s="77">
        <v>1</v>
      </c>
      <c r="F83" s="103"/>
      <c r="G83" s="77" t="s">
        <v>14</v>
      </c>
      <c r="H83" s="75" t="s">
        <v>390</v>
      </c>
      <c r="I83" s="113">
        <v>3.19</v>
      </c>
      <c r="J83" s="104">
        <v>17697</v>
      </c>
      <c r="K83" s="76">
        <v>1.23</v>
      </c>
      <c r="L83" s="104">
        <f t="shared" si="0"/>
        <v>69437.718899999993</v>
      </c>
      <c r="M83" s="104"/>
      <c r="N83" s="104">
        <f t="shared" si="7"/>
        <v>69437.718899999993</v>
      </c>
      <c r="O83" s="104">
        <f t="shared" si="8"/>
        <v>6943.77189</v>
      </c>
      <c r="P83" s="104"/>
      <c r="Q83" s="153"/>
      <c r="R83" s="153"/>
      <c r="S83" s="105">
        <f t="shared" si="5"/>
        <v>1700.2379750244854</v>
      </c>
      <c r="T83" s="105">
        <f t="shared" si="6"/>
        <v>12928.715826959628</v>
      </c>
      <c r="U83" s="105"/>
      <c r="V83" s="105"/>
      <c r="W83" s="105"/>
      <c r="X83" s="105"/>
      <c r="Y83" s="105"/>
      <c r="Z83" s="105"/>
      <c r="AA83" s="105">
        <f t="shared" si="9"/>
        <v>91010.444591984109</v>
      </c>
      <c r="AB83" s="105">
        <f t="shared" si="10"/>
        <v>1092.1253351038094</v>
      </c>
    </row>
    <row r="84" spans="1:28" s="147" customFormat="1" ht="25.5" x14ac:dyDescent="0.2">
      <c r="A84" s="77">
        <v>72</v>
      </c>
      <c r="B84" s="142" t="s">
        <v>260</v>
      </c>
      <c r="C84" s="142" t="s">
        <v>269</v>
      </c>
      <c r="D84" s="146" t="s">
        <v>349</v>
      </c>
      <c r="E84" s="77">
        <v>1</v>
      </c>
      <c r="F84" s="103"/>
      <c r="G84" s="77" t="s">
        <v>14</v>
      </c>
      <c r="H84" s="75" t="s">
        <v>376</v>
      </c>
      <c r="I84" s="113">
        <v>3.16</v>
      </c>
      <c r="J84" s="104">
        <v>17697</v>
      </c>
      <c r="K84" s="76">
        <v>1.23</v>
      </c>
      <c r="L84" s="104">
        <f t="shared" si="0"/>
        <v>68784.699600000007</v>
      </c>
      <c r="M84" s="104"/>
      <c r="N84" s="104">
        <f t="shared" si="7"/>
        <v>68784.699600000007</v>
      </c>
      <c r="O84" s="104">
        <f t="shared" si="8"/>
        <v>6878.4699600000013</v>
      </c>
      <c r="P84" s="104"/>
      <c r="Q84" s="153"/>
      <c r="R84" s="153"/>
      <c r="S84" s="105">
        <f t="shared" si="5"/>
        <v>1684.2482761998042</v>
      </c>
      <c r="T84" s="105">
        <f t="shared" si="6"/>
        <v>12807.129157740574</v>
      </c>
      <c r="U84" s="105"/>
      <c r="V84" s="105"/>
      <c r="W84" s="105"/>
      <c r="X84" s="105"/>
      <c r="Y84" s="105"/>
      <c r="Z84" s="105"/>
      <c r="AA84" s="105">
        <f t="shared" si="9"/>
        <v>90154.546993940399</v>
      </c>
      <c r="AB84" s="105">
        <f t="shared" si="10"/>
        <v>1081.854563927285</v>
      </c>
    </row>
    <row r="85" spans="1:28" s="147" customFormat="1" ht="25.5" x14ac:dyDescent="0.2">
      <c r="A85" s="77">
        <v>73</v>
      </c>
      <c r="B85" s="142" t="s">
        <v>260</v>
      </c>
      <c r="C85" s="142" t="s">
        <v>270</v>
      </c>
      <c r="D85" s="146" t="s">
        <v>37</v>
      </c>
      <c r="E85" s="77">
        <v>1</v>
      </c>
      <c r="F85" s="103"/>
      <c r="G85" s="77" t="s">
        <v>14</v>
      </c>
      <c r="H85" s="75" t="s">
        <v>411</v>
      </c>
      <c r="I85" s="113">
        <v>3.29</v>
      </c>
      <c r="J85" s="104">
        <v>17697</v>
      </c>
      <c r="K85" s="76">
        <v>1.23</v>
      </c>
      <c r="L85" s="104">
        <f t="shared" si="0"/>
        <v>71614.449899999992</v>
      </c>
      <c r="M85" s="104"/>
      <c r="N85" s="104">
        <f t="shared" si="7"/>
        <v>71614.449899999992</v>
      </c>
      <c r="O85" s="104">
        <f t="shared" si="8"/>
        <v>7161.44499</v>
      </c>
      <c r="P85" s="104"/>
      <c r="Q85" s="153"/>
      <c r="R85" s="153"/>
      <c r="S85" s="105">
        <f t="shared" si="5"/>
        <v>1753.5369711067578</v>
      </c>
      <c r="T85" s="105">
        <f t="shared" si="6"/>
        <v>13334.004724356482</v>
      </c>
      <c r="U85" s="105"/>
      <c r="V85" s="105"/>
      <c r="W85" s="105"/>
      <c r="X85" s="105"/>
      <c r="Y85" s="105"/>
      <c r="Z85" s="105"/>
      <c r="AA85" s="105">
        <f t="shared" si="9"/>
        <v>93863.436585463234</v>
      </c>
      <c r="AB85" s="105">
        <f t="shared" si="10"/>
        <v>1126.3612390255589</v>
      </c>
    </row>
    <row r="86" spans="1:28" s="147" customFormat="1" ht="38.25" x14ac:dyDescent="0.2">
      <c r="A86" s="77">
        <v>74</v>
      </c>
      <c r="B86" s="142" t="s">
        <v>260</v>
      </c>
      <c r="C86" s="142" t="s">
        <v>271</v>
      </c>
      <c r="D86" s="146" t="s">
        <v>37</v>
      </c>
      <c r="E86" s="77">
        <v>1</v>
      </c>
      <c r="F86" s="103"/>
      <c r="G86" s="77" t="s">
        <v>14</v>
      </c>
      <c r="H86" s="75" t="s">
        <v>412</v>
      </c>
      <c r="I86" s="113">
        <v>3.12</v>
      </c>
      <c r="J86" s="104">
        <v>17697</v>
      </c>
      <c r="K86" s="76">
        <v>1.23</v>
      </c>
      <c r="L86" s="104">
        <f t="shared" si="0"/>
        <v>67914.007199999993</v>
      </c>
      <c r="M86" s="104"/>
      <c r="N86" s="104">
        <f t="shared" si="7"/>
        <v>67914.007199999993</v>
      </c>
      <c r="O86" s="104">
        <f t="shared" si="8"/>
        <v>6791.4007199999996</v>
      </c>
      <c r="P86" s="104"/>
      <c r="Q86" s="153"/>
      <c r="R86" s="153"/>
      <c r="S86" s="105">
        <f t="shared" si="5"/>
        <v>1662.9286777668949</v>
      </c>
      <c r="T86" s="105">
        <f t="shared" si="6"/>
        <v>12645.01359878183</v>
      </c>
      <c r="U86" s="105"/>
      <c r="V86" s="105"/>
      <c r="W86" s="105"/>
      <c r="X86" s="105"/>
      <c r="Y86" s="105"/>
      <c r="Z86" s="105"/>
      <c r="AA86" s="105">
        <f t="shared" si="9"/>
        <v>89013.350196548723</v>
      </c>
      <c r="AB86" s="105">
        <f t="shared" si="10"/>
        <v>1068.1602023585847</v>
      </c>
    </row>
    <row r="87" spans="1:28" s="147" customFormat="1" ht="25.5" x14ac:dyDescent="0.2">
      <c r="A87" s="77">
        <v>75</v>
      </c>
      <c r="B87" s="142" t="s">
        <v>260</v>
      </c>
      <c r="C87" s="142" t="s">
        <v>141</v>
      </c>
      <c r="D87" s="146" t="s">
        <v>37</v>
      </c>
      <c r="E87" s="77">
        <v>1</v>
      </c>
      <c r="F87" s="103"/>
      <c r="G87" s="77" t="s">
        <v>14</v>
      </c>
      <c r="H87" s="75" t="s">
        <v>368</v>
      </c>
      <c r="I87" s="113">
        <v>3.29</v>
      </c>
      <c r="J87" s="104">
        <v>17697</v>
      </c>
      <c r="K87" s="76">
        <v>1.23</v>
      </c>
      <c r="L87" s="104">
        <f t="shared" si="0"/>
        <v>71614.449899999992</v>
      </c>
      <c r="M87" s="104"/>
      <c r="N87" s="104">
        <f t="shared" si="7"/>
        <v>71614.449899999992</v>
      </c>
      <c r="O87" s="104">
        <f t="shared" si="8"/>
        <v>7161.44499</v>
      </c>
      <c r="P87" s="104"/>
      <c r="Q87" s="153"/>
      <c r="R87" s="153"/>
      <c r="S87" s="105">
        <f t="shared" si="5"/>
        <v>1753.5369711067578</v>
      </c>
      <c r="T87" s="105">
        <f t="shared" si="6"/>
        <v>13334.004724356482</v>
      </c>
      <c r="U87" s="105"/>
      <c r="V87" s="105"/>
      <c r="W87" s="105"/>
      <c r="X87" s="105"/>
      <c r="Y87" s="105"/>
      <c r="Z87" s="105"/>
      <c r="AA87" s="105">
        <f t="shared" si="9"/>
        <v>93863.436585463234</v>
      </c>
      <c r="AB87" s="105">
        <f t="shared" si="10"/>
        <v>1126.3612390255589</v>
      </c>
    </row>
    <row r="88" spans="1:28" s="147" customFormat="1" ht="25.5" x14ac:dyDescent="0.2">
      <c r="A88" s="77">
        <v>76</v>
      </c>
      <c r="B88" s="142" t="s">
        <v>7</v>
      </c>
      <c r="C88" s="142" t="s">
        <v>272</v>
      </c>
      <c r="D88" s="146" t="s">
        <v>350</v>
      </c>
      <c r="E88" s="77">
        <v>1</v>
      </c>
      <c r="F88" s="103"/>
      <c r="G88" s="77" t="s">
        <v>14</v>
      </c>
      <c r="H88" s="75" t="s">
        <v>413</v>
      </c>
      <c r="I88" s="113">
        <v>3.16</v>
      </c>
      <c r="J88" s="104">
        <v>17697</v>
      </c>
      <c r="K88" s="76">
        <v>1.23</v>
      </c>
      <c r="L88" s="104">
        <f t="shared" si="0"/>
        <v>68784.699600000007</v>
      </c>
      <c r="M88" s="104"/>
      <c r="N88" s="104">
        <f t="shared" si="7"/>
        <v>68784.699600000007</v>
      </c>
      <c r="O88" s="104">
        <f t="shared" si="8"/>
        <v>6878.4699600000013</v>
      </c>
      <c r="P88" s="104"/>
      <c r="Q88" s="153"/>
      <c r="R88" s="153"/>
      <c r="S88" s="105"/>
      <c r="T88" s="153"/>
      <c r="U88" s="105"/>
      <c r="V88" s="105"/>
      <c r="W88" s="105"/>
      <c r="X88" s="105"/>
      <c r="Y88" s="105"/>
      <c r="Z88" s="105"/>
      <c r="AA88" s="105">
        <f t="shared" si="9"/>
        <v>75663.169560000009</v>
      </c>
      <c r="AB88" s="105">
        <f t="shared" si="10"/>
        <v>907.95803472000011</v>
      </c>
    </row>
    <row r="89" spans="1:28" s="147" customFormat="1" ht="25.5" x14ac:dyDescent="0.2">
      <c r="A89" s="77">
        <v>77</v>
      </c>
      <c r="B89" s="142" t="s">
        <v>273</v>
      </c>
      <c r="C89" s="142" t="s">
        <v>274</v>
      </c>
      <c r="D89" s="146" t="s">
        <v>349</v>
      </c>
      <c r="E89" s="77">
        <v>0.5</v>
      </c>
      <c r="F89" s="103"/>
      <c r="G89" s="77" t="s">
        <v>14</v>
      </c>
      <c r="H89" s="75" t="s">
        <v>401</v>
      </c>
      <c r="I89" s="113">
        <v>3.16</v>
      </c>
      <c r="J89" s="104">
        <v>17697</v>
      </c>
      <c r="K89" s="76">
        <v>1.23</v>
      </c>
      <c r="L89" s="104">
        <f t="shared" si="0"/>
        <v>34392.349800000004</v>
      </c>
      <c r="M89" s="104"/>
      <c r="N89" s="104">
        <f t="shared" si="7"/>
        <v>34392.349800000004</v>
      </c>
      <c r="O89" s="104">
        <f t="shared" si="8"/>
        <v>3439.2349800000006</v>
      </c>
      <c r="P89" s="104"/>
      <c r="Q89" s="105">
        <f>SUM(E89*J89*0.2)</f>
        <v>1769.7</v>
      </c>
      <c r="R89" s="153"/>
      <c r="S89" s="105"/>
      <c r="T89" s="153"/>
      <c r="U89" s="105"/>
      <c r="V89" s="105"/>
      <c r="W89" s="105"/>
      <c r="X89" s="105"/>
      <c r="Y89" s="105"/>
      <c r="Z89" s="105"/>
      <c r="AA89" s="105">
        <f t="shared" si="9"/>
        <v>39601.284780000002</v>
      </c>
      <c r="AB89" s="105">
        <f t="shared" si="10"/>
        <v>475.21541736</v>
      </c>
    </row>
    <row r="90" spans="1:28" s="147" customFormat="1" ht="22.5" customHeight="1" x14ac:dyDescent="0.2">
      <c r="A90" s="77">
        <v>78</v>
      </c>
      <c r="B90" s="142" t="s">
        <v>273</v>
      </c>
      <c r="C90" s="142" t="s">
        <v>275</v>
      </c>
      <c r="D90" s="146" t="s">
        <v>349</v>
      </c>
      <c r="E90" s="77">
        <v>0.5</v>
      </c>
      <c r="F90" s="103"/>
      <c r="G90" s="77" t="s">
        <v>14</v>
      </c>
      <c r="H90" s="75" t="s">
        <v>370</v>
      </c>
      <c r="I90" s="113">
        <v>2.94</v>
      </c>
      <c r="J90" s="104">
        <v>17697</v>
      </c>
      <c r="K90" s="76">
        <v>1.23</v>
      </c>
      <c r="L90" s="104">
        <f t="shared" si="0"/>
        <v>31997.9457</v>
      </c>
      <c r="M90" s="104"/>
      <c r="N90" s="104">
        <f t="shared" si="7"/>
        <v>31997.9457</v>
      </c>
      <c r="O90" s="104">
        <f t="shared" si="8"/>
        <v>3199.79457</v>
      </c>
      <c r="P90" s="104"/>
      <c r="Q90" s="105">
        <f>SUM(E90*J90*0.2)</f>
        <v>1769.7</v>
      </c>
      <c r="R90" s="153"/>
      <c r="S90" s="105"/>
      <c r="T90" s="153"/>
      <c r="U90" s="105"/>
      <c r="V90" s="105"/>
      <c r="W90" s="105"/>
      <c r="X90" s="105"/>
      <c r="Y90" s="105"/>
      <c r="Z90" s="105"/>
      <c r="AA90" s="105">
        <f t="shared" si="9"/>
        <v>36967.440269999999</v>
      </c>
      <c r="AB90" s="105">
        <f t="shared" si="10"/>
        <v>443.60928324000002</v>
      </c>
    </row>
    <row r="91" spans="1:28" s="147" customFormat="1" ht="25.5" x14ac:dyDescent="0.2">
      <c r="A91" s="77">
        <v>79</v>
      </c>
      <c r="B91" s="142" t="s">
        <v>276</v>
      </c>
      <c r="C91" s="142" t="s">
        <v>277</v>
      </c>
      <c r="D91" s="146" t="s">
        <v>37</v>
      </c>
      <c r="E91" s="77">
        <v>1</v>
      </c>
      <c r="F91" s="103"/>
      <c r="G91" s="77" t="s">
        <v>14</v>
      </c>
      <c r="H91" s="75" t="s">
        <v>370</v>
      </c>
      <c r="I91" s="113">
        <v>2.94</v>
      </c>
      <c r="J91" s="104">
        <v>17697</v>
      </c>
      <c r="K91" s="76">
        <v>1.23</v>
      </c>
      <c r="L91" s="104">
        <f t="shared" si="0"/>
        <v>63995.8914</v>
      </c>
      <c r="M91" s="104"/>
      <c r="N91" s="104">
        <f t="shared" si="7"/>
        <v>63995.8914</v>
      </c>
      <c r="O91" s="104">
        <f t="shared" si="8"/>
        <v>6399.58914</v>
      </c>
      <c r="P91" s="104"/>
      <c r="Q91" s="153"/>
      <c r="R91" s="153"/>
      <c r="S91" s="105"/>
      <c r="T91" s="153"/>
      <c r="U91" s="105"/>
      <c r="V91" s="105"/>
      <c r="W91" s="105"/>
      <c r="X91" s="105"/>
      <c r="Y91" s="105"/>
      <c r="Z91" s="105"/>
      <c r="AA91" s="105">
        <f t="shared" si="9"/>
        <v>70395.480540000004</v>
      </c>
      <c r="AB91" s="105">
        <f t="shared" si="10"/>
        <v>844.74576648000004</v>
      </c>
    </row>
    <row r="92" spans="1:28" s="147" customFormat="1" ht="25.5" x14ac:dyDescent="0.2">
      <c r="A92" s="77">
        <v>80</v>
      </c>
      <c r="B92" s="142" t="s">
        <v>317</v>
      </c>
      <c r="C92" s="142" t="s">
        <v>141</v>
      </c>
      <c r="D92" s="146" t="s">
        <v>37</v>
      </c>
      <c r="E92" s="77">
        <v>1</v>
      </c>
      <c r="F92" s="103"/>
      <c r="G92" s="77" t="s">
        <v>14</v>
      </c>
      <c r="H92" s="156" t="s">
        <v>358</v>
      </c>
      <c r="I92" s="113">
        <v>2.94</v>
      </c>
      <c r="J92" s="104">
        <v>17697</v>
      </c>
      <c r="K92" s="76">
        <v>1.23</v>
      </c>
      <c r="L92" s="104">
        <f>(I92*17697*E92)*K92</f>
        <v>63995.8914</v>
      </c>
      <c r="M92" s="104"/>
      <c r="N92" s="104">
        <f>L92+M92</f>
        <v>63995.8914</v>
      </c>
      <c r="O92" s="104">
        <f>N92*10%</f>
        <v>6399.58914</v>
      </c>
      <c r="P92" s="104"/>
      <c r="Q92" s="153"/>
      <c r="R92" s="153"/>
      <c r="S92" s="105"/>
      <c r="T92" s="153"/>
      <c r="U92" s="105"/>
      <c r="V92" s="105"/>
      <c r="W92" s="105"/>
      <c r="X92" s="105"/>
      <c r="Y92" s="105"/>
      <c r="Z92" s="105"/>
      <c r="AA92" s="105">
        <f t="shared" si="9"/>
        <v>70395.480540000004</v>
      </c>
      <c r="AB92" s="105">
        <f t="shared" si="10"/>
        <v>844.74576648000004</v>
      </c>
    </row>
    <row r="93" spans="1:28" s="147" customFormat="1" ht="25.5" x14ac:dyDescent="0.2">
      <c r="A93" s="77">
        <v>81</v>
      </c>
      <c r="B93" s="142" t="s">
        <v>278</v>
      </c>
      <c r="C93" s="142" t="s">
        <v>279</v>
      </c>
      <c r="D93" s="146" t="s">
        <v>350</v>
      </c>
      <c r="E93" s="103">
        <v>1</v>
      </c>
      <c r="F93" s="103"/>
      <c r="G93" s="103">
        <v>5</v>
      </c>
      <c r="H93" s="156"/>
      <c r="I93" s="157">
        <v>2.92</v>
      </c>
      <c r="J93" s="104">
        <v>17697</v>
      </c>
      <c r="K93" s="205">
        <v>1.23</v>
      </c>
      <c r="L93" s="104">
        <f t="shared" si="0"/>
        <v>63560.545199999993</v>
      </c>
      <c r="M93" s="104"/>
      <c r="N93" s="104">
        <f t="shared" si="7"/>
        <v>63560.545199999993</v>
      </c>
      <c r="O93" s="104">
        <f t="shared" si="8"/>
        <v>6356.0545199999997</v>
      </c>
      <c r="P93" s="104"/>
      <c r="Q93" s="105">
        <f>17697*30%</f>
        <v>5309.0999999999995</v>
      </c>
      <c r="R93" s="153"/>
      <c r="S93" s="105"/>
      <c r="T93" s="153"/>
      <c r="U93" s="105"/>
      <c r="V93" s="105"/>
      <c r="W93" s="105"/>
      <c r="X93" s="105"/>
      <c r="Y93" s="105"/>
      <c r="Z93" s="105"/>
      <c r="AA93" s="105">
        <f t="shared" si="9"/>
        <v>75225.699720000004</v>
      </c>
      <c r="AB93" s="105">
        <f t="shared" si="10"/>
        <v>902.70839664000005</v>
      </c>
    </row>
    <row r="94" spans="1:28" s="147" customFormat="1" ht="25.5" x14ac:dyDescent="0.2">
      <c r="A94" s="77">
        <v>82</v>
      </c>
      <c r="B94" s="142" t="s">
        <v>280</v>
      </c>
      <c r="C94" s="142" t="s">
        <v>281</v>
      </c>
      <c r="D94" s="146" t="s">
        <v>350</v>
      </c>
      <c r="E94" s="77">
        <v>1</v>
      </c>
      <c r="F94" s="103"/>
      <c r="G94" s="77">
        <v>5</v>
      </c>
      <c r="H94" s="75"/>
      <c r="I94" s="113">
        <v>2.92</v>
      </c>
      <c r="J94" s="104">
        <v>17697</v>
      </c>
      <c r="K94" s="76">
        <v>1.23</v>
      </c>
      <c r="L94" s="104">
        <f t="shared" si="0"/>
        <v>63560.545199999993</v>
      </c>
      <c r="M94" s="104"/>
      <c r="N94" s="104">
        <f t="shared" si="7"/>
        <v>63560.545199999993</v>
      </c>
      <c r="O94" s="104">
        <f t="shared" si="8"/>
        <v>6356.0545199999997</v>
      </c>
      <c r="P94" s="104"/>
      <c r="Q94" s="153"/>
      <c r="R94" s="153"/>
      <c r="S94" s="105"/>
      <c r="T94" s="153"/>
      <c r="U94" s="105"/>
      <c r="V94" s="105"/>
      <c r="W94" s="105"/>
      <c r="X94" s="105"/>
      <c r="Y94" s="105"/>
      <c r="Z94" s="105"/>
      <c r="AA94" s="105">
        <f t="shared" si="9"/>
        <v>69916.599719999998</v>
      </c>
      <c r="AB94" s="105">
        <f t="shared" si="10"/>
        <v>838.99919664000004</v>
      </c>
    </row>
    <row r="95" spans="1:28" s="147" customFormat="1" ht="25.5" x14ac:dyDescent="0.2">
      <c r="A95" s="77">
        <v>83</v>
      </c>
      <c r="B95" s="142" t="s">
        <v>282</v>
      </c>
      <c r="C95" s="142" t="s">
        <v>207</v>
      </c>
      <c r="D95" s="146" t="s">
        <v>350</v>
      </c>
      <c r="E95" s="77">
        <v>1</v>
      </c>
      <c r="F95" s="103"/>
      <c r="G95" s="77">
        <v>2</v>
      </c>
      <c r="H95" s="75"/>
      <c r="I95" s="113">
        <v>2.81</v>
      </c>
      <c r="J95" s="104">
        <v>17697</v>
      </c>
      <c r="K95" s="76">
        <v>1.23</v>
      </c>
      <c r="L95" s="104">
        <f t="shared" si="0"/>
        <v>61166.141100000001</v>
      </c>
      <c r="M95" s="104"/>
      <c r="N95" s="104">
        <f t="shared" si="7"/>
        <v>61166.141100000001</v>
      </c>
      <c r="O95" s="104">
        <f t="shared" si="8"/>
        <v>6116.6141100000004</v>
      </c>
      <c r="P95" s="104"/>
      <c r="Q95" s="153"/>
      <c r="R95" s="153"/>
      <c r="S95" s="105"/>
      <c r="T95" s="153"/>
      <c r="U95" s="105"/>
      <c r="V95" s="105"/>
      <c r="W95" s="105"/>
      <c r="X95" s="105"/>
      <c r="Y95" s="105"/>
      <c r="Z95" s="105"/>
      <c r="AA95" s="105">
        <f t="shared" si="9"/>
        <v>67282.755210000003</v>
      </c>
      <c r="AB95" s="105">
        <f t="shared" si="10"/>
        <v>807.39306252000006</v>
      </c>
    </row>
    <row r="96" spans="1:28" s="147" customFormat="1" ht="25.5" x14ac:dyDescent="0.2">
      <c r="A96" s="77">
        <v>84</v>
      </c>
      <c r="B96" s="142" t="s">
        <v>8</v>
      </c>
      <c r="C96" s="142" t="s">
        <v>274</v>
      </c>
      <c r="D96" s="146" t="s">
        <v>350</v>
      </c>
      <c r="E96" s="77">
        <v>1</v>
      </c>
      <c r="F96" s="103"/>
      <c r="G96" s="77">
        <v>5</v>
      </c>
      <c r="H96" s="75"/>
      <c r="I96" s="113">
        <v>2.92</v>
      </c>
      <c r="J96" s="104">
        <v>17697</v>
      </c>
      <c r="K96" s="76">
        <v>1.23</v>
      </c>
      <c r="L96" s="104">
        <f t="shared" si="0"/>
        <v>63560.545199999993</v>
      </c>
      <c r="M96" s="104"/>
      <c r="N96" s="104">
        <f t="shared" si="7"/>
        <v>63560.545199999993</v>
      </c>
      <c r="O96" s="104">
        <f t="shared" si="8"/>
        <v>6356.0545199999997</v>
      </c>
      <c r="P96" s="104"/>
      <c r="Q96" s="153"/>
      <c r="R96" s="153"/>
      <c r="S96" s="105"/>
      <c r="T96" s="153"/>
      <c r="U96" s="105"/>
      <c r="V96" s="105"/>
      <c r="W96" s="105"/>
      <c r="X96" s="105"/>
      <c r="Y96" s="105"/>
      <c r="Z96" s="105"/>
      <c r="AA96" s="105">
        <f t="shared" si="9"/>
        <v>69916.599719999998</v>
      </c>
      <c r="AB96" s="105">
        <f t="shared" si="10"/>
        <v>838.99919664000004</v>
      </c>
    </row>
    <row r="97" spans="1:28" s="147" customFormat="1" ht="25.5" x14ac:dyDescent="0.2">
      <c r="A97" s="77">
        <v>85</v>
      </c>
      <c r="B97" s="142" t="s">
        <v>283</v>
      </c>
      <c r="C97" s="142" t="s">
        <v>284</v>
      </c>
      <c r="D97" s="146" t="s">
        <v>349</v>
      </c>
      <c r="E97" s="77">
        <v>1.5</v>
      </c>
      <c r="F97" s="103"/>
      <c r="G97" s="77">
        <v>2</v>
      </c>
      <c r="H97" s="75"/>
      <c r="I97" s="113">
        <v>2.81</v>
      </c>
      <c r="J97" s="104">
        <v>17697</v>
      </c>
      <c r="K97" s="76">
        <v>1.23</v>
      </c>
      <c r="L97" s="104">
        <f t="shared" si="0"/>
        <v>91749.211649999997</v>
      </c>
      <c r="M97" s="104"/>
      <c r="N97" s="104">
        <f t="shared" si="7"/>
        <v>91749.211649999997</v>
      </c>
      <c r="O97" s="104">
        <f t="shared" si="8"/>
        <v>9174.9211649999997</v>
      </c>
      <c r="P97" s="104"/>
      <c r="Q97" s="153">
        <f>J97*30%*E97</f>
        <v>7963.65</v>
      </c>
      <c r="R97" s="153"/>
      <c r="S97" s="105"/>
      <c r="T97" s="153"/>
      <c r="U97" s="105"/>
      <c r="V97" s="105"/>
      <c r="W97" s="105"/>
      <c r="X97" s="105"/>
      <c r="Y97" s="105"/>
      <c r="Z97" s="105"/>
      <c r="AA97" s="105">
        <f t="shared" si="9"/>
        <v>108887.78281499998</v>
      </c>
      <c r="AB97" s="105">
        <f t="shared" si="10"/>
        <v>1306.6533937799998</v>
      </c>
    </row>
    <row r="98" spans="1:28" s="147" customFormat="1" ht="25.5" x14ac:dyDescent="0.2">
      <c r="A98" s="77">
        <v>86</v>
      </c>
      <c r="B98" s="142" t="s">
        <v>283</v>
      </c>
      <c r="C98" s="142" t="s">
        <v>285</v>
      </c>
      <c r="D98" s="146" t="s">
        <v>349</v>
      </c>
      <c r="E98" s="77">
        <v>1.5</v>
      </c>
      <c r="F98" s="103"/>
      <c r="G98" s="77">
        <v>2</v>
      </c>
      <c r="H98" s="75"/>
      <c r="I98" s="116">
        <v>2.81</v>
      </c>
      <c r="J98" s="104">
        <v>17697</v>
      </c>
      <c r="K98" s="76">
        <v>1.23</v>
      </c>
      <c r="L98" s="104">
        <f t="shared" si="0"/>
        <v>91749.211649999997</v>
      </c>
      <c r="M98" s="104"/>
      <c r="N98" s="104">
        <f t="shared" si="7"/>
        <v>91749.211649999997</v>
      </c>
      <c r="O98" s="104">
        <f t="shared" si="8"/>
        <v>9174.9211649999997</v>
      </c>
      <c r="P98" s="104"/>
      <c r="Q98" s="153">
        <f t="shared" ref="Q98:Q110" si="11">J98*30%*E98</f>
        <v>7963.65</v>
      </c>
      <c r="R98" s="153"/>
      <c r="S98" s="105"/>
      <c r="T98" s="153"/>
      <c r="U98" s="105"/>
      <c r="V98" s="105"/>
      <c r="W98" s="105"/>
      <c r="X98" s="105"/>
      <c r="Y98" s="105"/>
      <c r="Z98" s="105"/>
      <c r="AA98" s="105">
        <f t="shared" si="9"/>
        <v>108887.78281499998</v>
      </c>
      <c r="AB98" s="105">
        <f t="shared" si="10"/>
        <v>1306.6533937799998</v>
      </c>
    </row>
    <row r="99" spans="1:28" s="147" customFormat="1" ht="25.5" x14ac:dyDescent="0.2">
      <c r="A99" s="77">
        <v>87</v>
      </c>
      <c r="B99" s="142" t="s">
        <v>283</v>
      </c>
      <c r="C99" s="142" t="s">
        <v>286</v>
      </c>
      <c r="D99" s="146" t="s">
        <v>349</v>
      </c>
      <c r="E99" s="77">
        <v>1.5</v>
      </c>
      <c r="F99" s="103"/>
      <c r="G99" s="77">
        <v>2</v>
      </c>
      <c r="H99" s="75"/>
      <c r="I99" s="113">
        <v>2.81</v>
      </c>
      <c r="J99" s="104">
        <v>17697</v>
      </c>
      <c r="K99" s="76">
        <v>1.23</v>
      </c>
      <c r="L99" s="104">
        <f t="shared" si="0"/>
        <v>91749.211649999997</v>
      </c>
      <c r="M99" s="104"/>
      <c r="N99" s="104">
        <f t="shared" si="7"/>
        <v>91749.211649999997</v>
      </c>
      <c r="O99" s="104">
        <f t="shared" si="8"/>
        <v>9174.9211649999997</v>
      </c>
      <c r="P99" s="104"/>
      <c r="Q99" s="153">
        <f t="shared" si="11"/>
        <v>7963.65</v>
      </c>
      <c r="R99" s="153"/>
      <c r="S99" s="105"/>
      <c r="T99" s="153"/>
      <c r="U99" s="105"/>
      <c r="V99" s="105"/>
      <c r="W99" s="105"/>
      <c r="X99" s="105"/>
      <c r="Y99" s="105"/>
      <c r="Z99" s="105"/>
      <c r="AA99" s="105">
        <f t="shared" si="9"/>
        <v>108887.78281499998</v>
      </c>
      <c r="AB99" s="105">
        <f t="shared" si="10"/>
        <v>1306.6533937799998</v>
      </c>
    </row>
    <row r="100" spans="1:28" s="147" customFormat="1" ht="38.25" x14ac:dyDescent="0.2">
      <c r="A100" s="77">
        <v>88</v>
      </c>
      <c r="B100" s="142" t="s">
        <v>283</v>
      </c>
      <c r="C100" s="142" t="s">
        <v>287</v>
      </c>
      <c r="D100" s="146" t="s">
        <v>349</v>
      </c>
      <c r="E100" s="77">
        <v>1.5</v>
      </c>
      <c r="F100" s="103"/>
      <c r="G100" s="77">
        <v>2</v>
      </c>
      <c r="H100" s="75"/>
      <c r="I100" s="113">
        <v>2.81</v>
      </c>
      <c r="J100" s="104">
        <v>17697</v>
      </c>
      <c r="K100" s="76">
        <v>1.23</v>
      </c>
      <c r="L100" s="104">
        <f t="shared" si="0"/>
        <v>91749.211649999997</v>
      </c>
      <c r="M100" s="104"/>
      <c r="N100" s="104">
        <f t="shared" si="7"/>
        <v>91749.211649999997</v>
      </c>
      <c r="O100" s="104">
        <f t="shared" si="8"/>
        <v>9174.9211649999997</v>
      </c>
      <c r="P100" s="104"/>
      <c r="Q100" s="153">
        <f t="shared" si="11"/>
        <v>7963.65</v>
      </c>
      <c r="R100" s="153"/>
      <c r="S100" s="105"/>
      <c r="T100" s="153"/>
      <c r="U100" s="105"/>
      <c r="V100" s="105"/>
      <c r="W100" s="105"/>
      <c r="X100" s="105"/>
      <c r="Y100" s="105"/>
      <c r="Z100" s="105"/>
      <c r="AA100" s="105">
        <f t="shared" si="9"/>
        <v>108887.78281499998</v>
      </c>
      <c r="AB100" s="105">
        <f t="shared" si="10"/>
        <v>1306.6533937799998</v>
      </c>
    </row>
    <row r="101" spans="1:28" s="147" customFormat="1" ht="25.5" x14ac:dyDescent="0.2">
      <c r="A101" s="77">
        <v>89</v>
      </c>
      <c r="B101" s="142" t="s">
        <v>283</v>
      </c>
      <c r="C101" s="142" t="s">
        <v>288</v>
      </c>
      <c r="D101" s="146" t="s">
        <v>349</v>
      </c>
      <c r="E101" s="77">
        <v>1.5</v>
      </c>
      <c r="F101" s="103"/>
      <c r="G101" s="77">
        <v>2</v>
      </c>
      <c r="H101" s="75"/>
      <c r="I101" s="113">
        <v>2.81</v>
      </c>
      <c r="J101" s="104">
        <v>17697</v>
      </c>
      <c r="K101" s="76">
        <v>1.23</v>
      </c>
      <c r="L101" s="104">
        <f t="shared" si="0"/>
        <v>91749.211649999997</v>
      </c>
      <c r="M101" s="104"/>
      <c r="N101" s="104">
        <f t="shared" si="7"/>
        <v>91749.211649999997</v>
      </c>
      <c r="O101" s="104">
        <f t="shared" si="8"/>
        <v>9174.9211649999997</v>
      </c>
      <c r="P101" s="104"/>
      <c r="Q101" s="153">
        <f t="shared" si="11"/>
        <v>7963.65</v>
      </c>
      <c r="R101" s="153"/>
      <c r="S101" s="105"/>
      <c r="T101" s="153"/>
      <c r="U101" s="105"/>
      <c r="V101" s="105"/>
      <c r="W101" s="105"/>
      <c r="X101" s="105"/>
      <c r="Y101" s="105"/>
      <c r="Z101" s="105"/>
      <c r="AA101" s="105">
        <f t="shared" si="9"/>
        <v>108887.78281499998</v>
      </c>
      <c r="AB101" s="105">
        <f t="shared" si="10"/>
        <v>1306.6533937799998</v>
      </c>
    </row>
    <row r="102" spans="1:28" s="147" customFormat="1" ht="25.5" x14ac:dyDescent="0.2">
      <c r="A102" s="77">
        <v>90</v>
      </c>
      <c r="B102" s="142" t="s">
        <v>283</v>
      </c>
      <c r="C102" s="142" t="s">
        <v>289</v>
      </c>
      <c r="D102" s="146" t="s">
        <v>349</v>
      </c>
      <c r="E102" s="77">
        <v>1.5</v>
      </c>
      <c r="F102" s="103"/>
      <c r="G102" s="77">
        <v>2</v>
      </c>
      <c r="H102" s="75"/>
      <c r="I102" s="113">
        <v>2.81</v>
      </c>
      <c r="J102" s="104">
        <v>17697</v>
      </c>
      <c r="K102" s="76">
        <v>1.23</v>
      </c>
      <c r="L102" s="104">
        <f t="shared" si="0"/>
        <v>91749.211649999997</v>
      </c>
      <c r="M102" s="104"/>
      <c r="N102" s="104">
        <f t="shared" si="7"/>
        <v>91749.211649999997</v>
      </c>
      <c r="O102" s="104">
        <f t="shared" si="8"/>
        <v>9174.9211649999997</v>
      </c>
      <c r="P102" s="104"/>
      <c r="Q102" s="153">
        <f t="shared" si="11"/>
        <v>7963.65</v>
      </c>
      <c r="R102" s="153"/>
      <c r="S102" s="105"/>
      <c r="T102" s="153"/>
      <c r="U102" s="105"/>
      <c r="V102" s="105"/>
      <c r="W102" s="105"/>
      <c r="X102" s="105"/>
      <c r="Y102" s="105"/>
      <c r="Z102" s="105"/>
      <c r="AA102" s="105">
        <f t="shared" si="9"/>
        <v>108887.78281499998</v>
      </c>
      <c r="AB102" s="105">
        <f t="shared" si="10"/>
        <v>1306.6533937799998</v>
      </c>
    </row>
    <row r="103" spans="1:28" s="147" customFormat="1" ht="25.5" x14ac:dyDescent="0.2">
      <c r="A103" s="77">
        <v>91</v>
      </c>
      <c r="B103" s="142" t="s">
        <v>283</v>
      </c>
      <c r="C103" s="142" t="s">
        <v>290</v>
      </c>
      <c r="D103" s="146" t="s">
        <v>349</v>
      </c>
      <c r="E103" s="77">
        <v>1.5</v>
      </c>
      <c r="F103" s="103"/>
      <c r="G103" s="77">
        <v>2</v>
      </c>
      <c r="H103" s="75"/>
      <c r="I103" s="113">
        <v>2.81</v>
      </c>
      <c r="J103" s="104">
        <v>17697</v>
      </c>
      <c r="K103" s="76">
        <v>1.23</v>
      </c>
      <c r="L103" s="104">
        <f t="shared" si="0"/>
        <v>91749.211649999997</v>
      </c>
      <c r="M103" s="104"/>
      <c r="N103" s="104">
        <f t="shared" si="7"/>
        <v>91749.211649999997</v>
      </c>
      <c r="O103" s="104">
        <f t="shared" si="8"/>
        <v>9174.9211649999997</v>
      </c>
      <c r="P103" s="104"/>
      <c r="Q103" s="153">
        <f t="shared" si="11"/>
        <v>7963.65</v>
      </c>
      <c r="R103" s="153"/>
      <c r="S103" s="105"/>
      <c r="T103" s="153"/>
      <c r="U103" s="105"/>
      <c r="V103" s="105"/>
      <c r="W103" s="105"/>
      <c r="X103" s="105"/>
      <c r="Y103" s="105"/>
      <c r="Z103" s="105"/>
      <c r="AA103" s="105">
        <f t="shared" si="9"/>
        <v>108887.78281499998</v>
      </c>
      <c r="AB103" s="105">
        <f t="shared" si="10"/>
        <v>1306.6533937799998</v>
      </c>
    </row>
    <row r="104" spans="1:28" s="147" customFormat="1" ht="25.5" x14ac:dyDescent="0.2">
      <c r="A104" s="77">
        <v>92</v>
      </c>
      <c r="B104" s="142" t="s">
        <v>283</v>
      </c>
      <c r="C104" s="142" t="s">
        <v>291</v>
      </c>
      <c r="D104" s="146" t="s">
        <v>349</v>
      </c>
      <c r="E104" s="77">
        <v>1.5</v>
      </c>
      <c r="F104" s="103"/>
      <c r="G104" s="77">
        <v>2</v>
      </c>
      <c r="H104" s="75"/>
      <c r="I104" s="113">
        <v>2.81</v>
      </c>
      <c r="J104" s="104">
        <v>17697</v>
      </c>
      <c r="K104" s="76">
        <v>1.23</v>
      </c>
      <c r="L104" s="104">
        <f t="shared" si="0"/>
        <v>91749.211649999997</v>
      </c>
      <c r="M104" s="104"/>
      <c r="N104" s="104">
        <f t="shared" si="7"/>
        <v>91749.211649999997</v>
      </c>
      <c r="O104" s="104">
        <f t="shared" si="8"/>
        <v>9174.9211649999997</v>
      </c>
      <c r="P104" s="104"/>
      <c r="Q104" s="153">
        <f t="shared" si="11"/>
        <v>7963.65</v>
      </c>
      <c r="R104" s="153"/>
      <c r="S104" s="105"/>
      <c r="T104" s="153"/>
      <c r="U104" s="105"/>
      <c r="V104" s="105"/>
      <c r="W104" s="105"/>
      <c r="X104" s="105"/>
      <c r="Y104" s="105"/>
      <c r="Z104" s="105"/>
      <c r="AA104" s="105">
        <f t="shared" si="9"/>
        <v>108887.78281499998</v>
      </c>
      <c r="AB104" s="105">
        <f t="shared" si="10"/>
        <v>1306.6533937799998</v>
      </c>
    </row>
    <row r="105" spans="1:28" s="147" customFormat="1" ht="25.5" x14ac:dyDescent="0.2">
      <c r="A105" s="77">
        <v>93</v>
      </c>
      <c r="B105" s="142" t="s">
        <v>283</v>
      </c>
      <c r="C105" s="142" t="s">
        <v>275</v>
      </c>
      <c r="D105" s="146" t="s">
        <v>349</v>
      </c>
      <c r="E105" s="77">
        <v>1</v>
      </c>
      <c r="F105" s="103"/>
      <c r="G105" s="77">
        <v>2</v>
      </c>
      <c r="H105" s="75"/>
      <c r="I105" s="113">
        <v>2.8140000000000001</v>
      </c>
      <c r="J105" s="104">
        <v>17697</v>
      </c>
      <c r="K105" s="76">
        <v>1.23</v>
      </c>
      <c r="L105" s="104">
        <f t="shared" si="0"/>
        <v>61253.210339999998</v>
      </c>
      <c r="M105" s="104"/>
      <c r="N105" s="104">
        <f t="shared" si="7"/>
        <v>61253.210339999998</v>
      </c>
      <c r="O105" s="104">
        <f t="shared" si="8"/>
        <v>6125.3210340000005</v>
      </c>
      <c r="P105" s="104"/>
      <c r="Q105" s="153">
        <f t="shared" si="11"/>
        <v>5309.0999999999995</v>
      </c>
      <c r="R105" s="153"/>
      <c r="S105" s="105"/>
      <c r="T105" s="153"/>
      <c r="U105" s="105"/>
      <c r="V105" s="105"/>
      <c r="W105" s="105"/>
      <c r="X105" s="105"/>
      <c r="Y105" s="105"/>
      <c r="Z105" s="105"/>
      <c r="AA105" s="105">
        <f t="shared" si="9"/>
        <v>72687.631374000004</v>
      </c>
      <c r="AB105" s="105">
        <f t="shared" si="10"/>
        <v>872.25157648800007</v>
      </c>
    </row>
    <row r="106" spans="1:28" s="147" customFormat="1" ht="25.5" x14ac:dyDescent="0.2">
      <c r="A106" s="77">
        <v>94</v>
      </c>
      <c r="B106" s="142" t="s">
        <v>283</v>
      </c>
      <c r="C106" s="142" t="s">
        <v>292</v>
      </c>
      <c r="D106" s="146" t="s">
        <v>349</v>
      </c>
      <c r="E106" s="77">
        <v>0.5</v>
      </c>
      <c r="F106" s="103"/>
      <c r="G106" s="77">
        <v>2</v>
      </c>
      <c r="H106" s="75"/>
      <c r="I106" s="113">
        <v>2.8140000000000001</v>
      </c>
      <c r="J106" s="104">
        <v>17697</v>
      </c>
      <c r="K106" s="76">
        <v>1.23</v>
      </c>
      <c r="L106" s="104">
        <f t="shared" si="0"/>
        <v>30626.605169999999</v>
      </c>
      <c r="M106" s="104"/>
      <c r="N106" s="104">
        <f t="shared" si="7"/>
        <v>30626.605169999999</v>
      </c>
      <c r="O106" s="104">
        <f t="shared" si="8"/>
        <v>3062.6605170000003</v>
      </c>
      <c r="P106" s="104"/>
      <c r="Q106" s="153">
        <f t="shared" si="11"/>
        <v>2654.5499999999997</v>
      </c>
      <c r="R106" s="153"/>
      <c r="S106" s="105"/>
      <c r="T106" s="153"/>
      <c r="U106" s="105"/>
      <c r="V106" s="105"/>
      <c r="W106" s="105"/>
      <c r="X106" s="105"/>
      <c r="Y106" s="105"/>
      <c r="Z106" s="105"/>
      <c r="AA106" s="105">
        <f t="shared" si="9"/>
        <v>36343.815687000002</v>
      </c>
      <c r="AB106" s="105">
        <f t="shared" si="10"/>
        <v>436.12578824400003</v>
      </c>
    </row>
    <row r="107" spans="1:28" s="147" customFormat="1" ht="25.5" x14ac:dyDescent="0.2">
      <c r="A107" s="77">
        <v>95</v>
      </c>
      <c r="B107" s="142" t="s">
        <v>283</v>
      </c>
      <c r="C107" s="142" t="s">
        <v>293</v>
      </c>
      <c r="D107" s="146" t="s">
        <v>349</v>
      </c>
      <c r="E107" s="77">
        <v>1.5</v>
      </c>
      <c r="F107" s="103"/>
      <c r="G107" s="77">
        <v>2</v>
      </c>
      <c r="H107" s="75"/>
      <c r="I107" s="113">
        <v>2.8140000000000001</v>
      </c>
      <c r="J107" s="104">
        <v>17697</v>
      </c>
      <c r="K107" s="76">
        <v>1.23</v>
      </c>
      <c r="L107" s="104">
        <f t="shared" si="0"/>
        <v>91879.81551</v>
      </c>
      <c r="M107" s="104"/>
      <c r="N107" s="104">
        <f t="shared" si="7"/>
        <v>91879.81551</v>
      </c>
      <c r="O107" s="104">
        <f t="shared" si="8"/>
        <v>9187.9815510000008</v>
      </c>
      <c r="P107" s="104"/>
      <c r="Q107" s="153">
        <f t="shared" si="11"/>
        <v>7963.65</v>
      </c>
      <c r="R107" s="153"/>
      <c r="S107" s="105"/>
      <c r="T107" s="153"/>
      <c r="U107" s="105"/>
      <c r="V107" s="105"/>
      <c r="W107" s="105"/>
      <c r="X107" s="105"/>
      <c r="Y107" s="105"/>
      <c r="Z107" s="105"/>
      <c r="AA107" s="105">
        <f t="shared" si="9"/>
        <v>109031.447061</v>
      </c>
      <c r="AB107" s="105">
        <f t="shared" si="10"/>
        <v>1308.3773647319999</v>
      </c>
    </row>
    <row r="108" spans="1:28" s="147" customFormat="1" ht="25.5" x14ac:dyDescent="0.2">
      <c r="A108" s="77">
        <v>96</v>
      </c>
      <c r="B108" s="142" t="s">
        <v>283</v>
      </c>
      <c r="C108" s="142" t="s">
        <v>294</v>
      </c>
      <c r="D108" s="146" t="s">
        <v>349</v>
      </c>
      <c r="E108" s="77">
        <v>1.5</v>
      </c>
      <c r="F108" s="103"/>
      <c r="G108" s="77">
        <v>2</v>
      </c>
      <c r="H108" s="75"/>
      <c r="I108" s="113">
        <v>2.8140000000000001</v>
      </c>
      <c r="J108" s="104">
        <v>17697</v>
      </c>
      <c r="K108" s="76">
        <v>1.23</v>
      </c>
      <c r="L108" s="104">
        <f t="shared" si="0"/>
        <v>91879.81551</v>
      </c>
      <c r="M108" s="104"/>
      <c r="N108" s="104">
        <f t="shared" si="7"/>
        <v>91879.81551</v>
      </c>
      <c r="O108" s="104">
        <f t="shared" si="8"/>
        <v>9187.9815510000008</v>
      </c>
      <c r="P108" s="104"/>
      <c r="Q108" s="153">
        <f t="shared" si="11"/>
        <v>7963.65</v>
      </c>
      <c r="R108" s="153"/>
      <c r="S108" s="105"/>
      <c r="T108" s="153"/>
      <c r="U108" s="105"/>
      <c r="V108" s="105"/>
      <c r="W108" s="105"/>
      <c r="X108" s="105"/>
      <c r="Y108" s="105"/>
      <c r="Z108" s="105"/>
      <c r="AA108" s="105">
        <f t="shared" si="9"/>
        <v>109031.447061</v>
      </c>
      <c r="AB108" s="105">
        <f t="shared" si="10"/>
        <v>1308.3773647319999</v>
      </c>
    </row>
    <row r="109" spans="1:28" s="147" customFormat="1" ht="38.25" x14ac:dyDescent="0.2">
      <c r="A109" s="77">
        <v>97</v>
      </c>
      <c r="B109" s="142" t="s">
        <v>295</v>
      </c>
      <c r="C109" s="142" t="s">
        <v>296</v>
      </c>
      <c r="D109" s="146" t="s">
        <v>349</v>
      </c>
      <c r="E109" s="77">
        <v>1.5</v>
      </c>
      <c r="F109" s="103"/>
      <c r="G109" s="77">
        <v>2</v>
      </c>
      <c r="H109" s="75"/>
      <c r="I109" s="113">
        <v>2.81</v>
      </c>
      <c r="J109" s="104">
        <v>17697</v>
      </c>
      <c r="K109" s="76">
        <v>1.23</v>
      </c>
      <c r="L109" s="104">
        <f t="shared" si="0"/>
        <v>91749.211649999997</v>
      </c>
      <c r="M109" s="104"/>
      <c r="N109" s="104">
        <f t="shared" si="7"/>
        <v>91749.211649999997</v>
      </c>
      <c r="O109" s="104">
        <f t="shared" si="8"/>
        <v>9174.9211649999997</v>
      </c>
      <c r="P109" s="104"/>
      <c r="Q109" s="153">
        <f t="shared" si="11"/>
        <v>7963.65</v>
      </c>
      <c r="R109" s="153"/>
      <c r="S109" s="105"/>
      <c r="T109" s="153"/>
      <c r="U109" s="105"/>
      <c r="V109" s="105"/>
      <c r="W109" s="105"/>
      <c r="X109" s="105"/>
      <c r="Y109" s="105"/>
      <c r="Z109" s="105"/>
      <c r="AA109" s="105">
        <f t="shared" si="9"/>
        <v>108887.78281499998</v>
      </c>
      <c r="AB109" s="105">
        <f t="shared" si="10"/>
        <v>1306.6533937799998</v>
      </c>
    </row>
    <row r="110" spans="1:28" s="147" customFormat="1" ht="24" customHeight="1" x14ac:dyDescent="0.2">
      <c r="A110" s="77">
        <v>98</v>
      </c>
      <c r="B110" s="142" t="s">
        <v>295</v>
      </c>
      <c r="C110" s="142" t="s">
        <v>141</v>
      </c>
      <c r="D110" s="146" t="s">
        <v>349</v>
      </c>
      <c r="E110" s="77">
        <v>0.5</v>
      </c>
      <c r="F110" s="103"/>
      <c r="G110" s="77">
        <v>2</v>
      </c>
      <c r="H110" s="75"/>
      <c r="I110" s="113">
        <v>2.81</v>
      </c>
      <c r="J110" s="104">
        <v>17697</v>
      </c>
      <c r="K110" s="76">
        <v>1.23</v>
      </c>
      <c r="L110" s="104">
        <f t="shared" si="0"/>
        <v>30583.07055</v>
      </c>
      <c r="M110" s="104"/>
      <c r="N110" s="104">
        <f t="shared" si="7"/>
        <v>30583.07055</v>
      </c>
      <c r="O110" s="104">
        <f t="shared" si="8"/>
        <v>3058.3070550000002</v>
      </c>
      <c r="P110" s="104"/>
      <c r="Q110" s="153">
        <f t="shared" si="11"/>
        <v>2654.5499999999997</v>
      </c>
      <c r="R110" s="153"/>
      <c r="S110" s="105"/>
      <c r="T110" s="153"/>
      <c r="U110" s="105"/>
      <c r="V110" s="105"/>
      <c r="W110" s="105"/>
      <c r="X110" s="105"/>
      <c r="Y110" s="105"/>
      <c r="Z110" s="105"/>
      <c r="AA110" s="105">
        <f t="shared" si="9"/>
        <v>36295.927605000004</v>
      </c>
      <c r="AB110" s="105">
        <f t="shared" si="10"/>
        <v>435.55113126000003</v>
      </c>
    </row>
    <row r="111" spans="1:28" s="147" customFormat="1" ht="38.25" x14ac:dyDescent="0.2">
      <c r="A111" s="77">
        <v>99</v>
      </c>
      <c r="B111" s="142" t="s">
        <v>297</v>
      </c>
      <c r="C111" s="142" t="s">
        <v>281</v>
      </c>
      <c r="D111" s="146" t="s">
        <v>349</v>
      </c>
      <c r="E111" s="77">
        <v>0.5</v>
      </c>
      <c r="F111" s="103"/>
      <c r="G111" s="77">
        <v>2</v>
      </c>
      <c r="H111" s="75"/>
      <c r="I111" s="113">
        <v>2.81</v>
      </c>
      <c r="J111" s="104">
        <v>17697</v>
      </c>
      <c r="K111" s="76">
        <v>1.23</v>
      </c>
      <c r="L111" s="104">
        <f t="shared" si="0"/>
        <v>30583.07055</v>
      </c>
      <c r="M111" s="104"/>
      <c r="N111" s="104">
        <f t="shared" si="7"/>
        <v>30583.07055</v>
      </c>
      <c r="O111" s="104">
        <f t="shared" si="8"/>
        <v>3058.3070550000002</v>
      </c>
      <c r="P111" s="104"/>
      <c r="Q111" s="153"/>
      <c r="R111" s="153"/>
      <c r="S111" s="105"/>
      <c r="T111" s="153"/>
      <c r="U111" s="105"/>
      <c r="V111" s="105"/>
      <c r="W111" s="105"/>
      <c r="X111" s="105"/>
      <c r="Y111" s="105"/>
      <c r="Z111" s="105"/>
      <c r="AA111" s="105">
        <f t="shared" si="9"/>
        <v>33641.377605000001</v>
      </c>
      <c r="AB111" s="105">
        <f t="shared" si="10"/>
        <v>403.69653126000003</v>
      </c>
    </row>
    <row r="112" spans="1:28" s="147" customFormat="1" ht="38.25" x14ac:dyDescent="0.2">
      <c r="A112" s="77">
        <v>100</v>
      </c>
      <c r="B112" s="142" t="s">
        <v>297</v>
      </c>
      <c r="C112" s="142" t="s">
        <v>298</v>
      </c>
      <c r="D112" s="146" t="s">
        <v>349</v>
      </c>
      <c r="E112" s="77">
        <v>1.5</v>
      </c>
      <c r="F112" s="103"/>
      <c r="G112" s="77">
        <v>2</v>
      </c>
      <c r="H112" s="75"/>
      <c r="I112" s="113">
        <v>2.81</v>
      </c>
      <c r="J112" s="104">
        <v>17697</v>
      </c>
      <c r="K112" s="76">
        <v>1.23</v>
      </c>
      <c r="L112" s="104">
        <f t="shared" si="0"/>
        <v>91749.211649999997</v>
      </c>
      <c r="M112" s="104"/>
      <c r="N112" s="104">
        <f t="shared" si="7"/>
        <v>91749.211649999997</v>
      </c>
      <c r="O112" s="104">
        <f t="shared" si="8"/>
        <v>9174.9211649999997</v>
      </c>
      <c r="P112" s="104"/>
      <c r="Q112" s="153"/>
      <c r="R112" s="153"/>
      <c r="S112" s="105"/>
      <c r="T112" s="153"/>
      <c r="U112" s="105"/>
      <c r="V112" s="105"/>
      <c r="W112" s="105"/>
      <c r="X112" s="105"/>
      <c r="Y112" s="105"/>
      <c r="Z112" s="105"/>
      <c r="AA112" s="105">
        <f t="shared" si="9"/>
        <v>100924.13281499999</v>
      </c>
      <c r="AB112" s="105">
        <f t="shared" si="10"/>
        <v>1211.0895937799999</v>
      </c>
    </row>
    <row r="113" spans="1:28" s="147" customFormat="1" ht="38.25" x14ac:dyDescent="0.2">
      <c r="A113" s="77">
        <v>101</v>
      </c>
      <c r="B113" s="142" t="s">
        <v>297</v>
      </c>
      <c r="C113" s="142" t="s">
        <v>299</v>
      </c>
      <c r="D113" s="146" t="s">
        <v>349</v>
      </c>
      <c r="E113" s="77">
        <v>1.5</v>
      </c>
      <c r="F113" s="103"/>
      <c r="G113" s="78">
        <v>2</v>
      </c>
      <c r="H113" s="75"/>
      <c r="I113" s="113">
        <v>2.81</v>
      </c>
      <c r="J113" s="104">
        <v>17697</v>
      </c>
      <c r="K113" s="76">
        <v>1.23</v>
      </c>
      <c r="L113" s="104">
        <f t="shared" si="0"/>
        <v>91749.211649999997</v>
      </c>
      <c r="M113" s="104"/>
      <c r="N113" s="104">
        <f t="shared" si="7"/>
        <v>91749.211649999997</v>
      </c>
      <c r="O113" s="104">
        <f t="shared" si="8"/>
        <v>9174.9211649999997</v>
      </c>
      <c r="P113" s="104"/>
      <c r="Q113" s="153"/>
      <c r="R113" s="153"/>
      <c r="S113" s="105"/>
      <c r="T113" s="153"/>
      <c r="U113" s="105"/>
      <c r="V113" s="105"/>
      <c r="W113" s="105"/>
      <c r="X113" s="105"/>
      <c r="Y113" s="105"/>
      <c r="Z113" s="105"/>
      <c r="AA113" s="105">
        <f t="shared" si="9"/>
        <v>100924.13281499999</v>
      </c>
      <c r="AB113" s="105">
        <f t="shared" si="10"/>
        <v>1211.0895937799999</v>
      </c>
    </row>
    <row r="114" spans="1:28" s="147" customFormat="1" ht="38.25" x14ac:dyDescent="0.2">
      <c r="A114" s="77">
        <v>102</v>
      </c>
      <c r="B114" s="142" t="s">
        <v>297</v>
      </c>
      <c r="C114" s="142" t="s">
        <v>300</v>
      </c>
      <c r="D114" s="146" t="s">
        <v>349</v>
      </c>
      <c r="E114" s="77">
        <v>0.5</v>
      </c>
      <c r="F114" s="103"/>
      <c r="G114" s="77">
        <v>2</v>
      </c>
      <c r="H114" s="75"/>
      <c r="I114" s="113">
        <v>2.81</v>
      </c>
      <c r="J114" s="104">
        <v>17697</v>
      </c>
      <c r="K114" s="76">
        <v>1.23</v>
      </c>
      <c r="L114" s="104">
        <f t="shared" si="0"/>
        <v>30583.07055</v>
      </c>
      <c r="M114" s="104"/>
      <c r="N114" s="104">
        <f t="shared" si="7"/>
        <v>30583.07055</v>
      </c>
      <c r="O114" s="104">
        <f t="shared" si="8"/>
        <v>3058.3070550000002</v>
      </c>
      <c r="P114" s="104"/>
      <c r="Q114" s="153"/>
      <c r="R114" s="153"/>
      <c r="S114" s="105"/>
      <c r="T114" s="153"/>
      <c r="U114" s="105"/>
      <c r="V114" s="105"/>
      <c r="W114" s="105"/>
      <c r="X114" s="105"/>
      <c r="Y114" s="105"/>
      <c r="Z114" s="105"/>
      <c r="AA114" s="105">
        <f t="shared" si="9"/>
        <v>33641.377605000001</v>
      </c>
      <c r="AB114" s="105">
        <f t="shared" si="10"/>
        <v>403.69653126000003</v>
      </c>
    </row>
    <row r="115" spans="1:28" s="147" customFormat="1" ht="12.75" x14ac:dyDescent="0.2">
      <c r="A115" s="77">
        <v>103</v>
      </c>
      <c r="B115" s="142" t="s">
        <v>301</v>
      </c>
      <c r="C115" s="142" t="s">
        <v>302</v>
      </c>
      <c r="D115" s="146" t="s">
        <v>349</v>
      </c>
      <c r="E115" s="77">
        <v>1</v>
      </c>
      <c r="F115" s="103"/>
      <c r="G115" s="77">
        <v>1</v>
      </c>
      <c r="H115" s="75"/>
      <c r="I115" s="116">
        <v>2.77</v>
      </c>
      <c r="J115" s="104">
        <v>17697</v>
      </c>
      <c r="K115" s="76">
        <v>1.23</v>
      </c>
      <c r="L115" s="104">
        <f t="shared" si="0"/>
        <v>60295.448700000001</v>
      </c>
      <c r="M115" s="104"/>
      <c r="N115" s="104">
        <f t="shared" si="7"/>
        <v>60295.448700000001</v>
      </c>
      <c r="O115" s="104">
        <f t="shared" si="8"/>
        <v>6029.5448700000006</v>
      </c>
      <c r="P115" s="104"/>
      <c r="Q115" s="153"/>
      <c r="R115" s="153"/>
      <c r="S115" s="105"/>
      <c r="T115" s="153"/>
      <c r="U115" s="105"/>
      <c r="V115" s="105"/>
      <c r="W115" s="105"/>
      <c r="X115" s="105"/>
      <c r="Y115" s="105"/>
      <c r="Z115" s="105"/>
      <c r="AA115" s="105">
        <f t="shared" si="9"/>
        <v>66324.993570000006</v>
      </c>
      <c r="AB115" s="105">
        <f t="shared" si="10"/>
        <v>795.89992284000016</v>
      </c>
    </row>
    <row r="116" spans="1:28" s="147" customFormat="1" ht="25.5" x14ac:dyDescent="0.2">
      <c r="A116" s="77">
        <v>104</v>
      </c>
      <c r="B116" s="142" t="s">
        <v>303</v>
      </c>
      <c r="C116" s="142" t="s">
        <v>302</v>
      </c>
      <c r="D116" s="146" t="s">
        <v>349</v>
      </c>
      <c r="E116" s="77">
        <v>0.5</v>
      </c>
      <c r="F116" s="103"/>
      <c r="G116" s="77">
        <v>1</v>
      </c>
      <c r="H116" s="75"/>
      <c r="I116" s="113">
        <v>2.77</v>
      </c>
      <c r="J116" s="104">
        <v>17697</v>
      </c>
      <c r="K116" s="76">
        <v>1.23</v>
      </c>
      <c r="L116" s="104">
        <f t="shared" si="0"/>
        <v>30147.72435</v>
      </c>
      <c r="M116" s="104"/>
      <c r="N116" s="104">
        <f t="shared" si="7"/>
        <v>30147.72435</v>
      </c>
      <c r="O116" s="104">
        <f t="shared" si="8"/>
        <v>3014.7724350000003</v>
      </c>
      <c r="P116" s="104"/>
      <c r="Q116" s="153">
        <f>J116*30%*E116</f>
        <v>2654.5499999999997</v>
      </c>
      <c r="R116" s="153"/>
      <c r="S116" s="105"/>
      <c r="T116" s="153"/>
      <c r="U116" s="105"/>
      <c r="V116" s="105"/>
      <c r="W116" s="105"/>
      <c r="X116" s="105"/>
      <c r="Y116" s="105"/>
      <c r="Z116" s="105"/>
      <c r="AA116" s="105">
        <f t="shared" si="9"/>
        <v>35817.046785000006</v>
      </c>
      <c r="AB116" s="105">
        <f t="shared" si="10"/>
        <v>429.80456142000003</v>
      </c>
    </row>
    <row r="117" spans="1:28" s="147" customFormat="1" ht="25.5" x14ac:dyDescent="0.2">
      <c r="A117" s="77">
        <v>105</v>
      </c>
      <c r="B117" s="142" t="s">
        <v>303</v>
      </c>
      <c r="C117" s="142" t="s">
        <v>279</v>
      </c>
      <c r="D117" s="146" t="s">
        <v>350</v>
      </c>
      <c r="E117" s="103">
        <v>0.5</v>
      </c>
      <c r="F117" s="103"/>
      <c r="G117" s="77">
        <v>1</v>
      </c>
      <c r="H117" s="75"/>
      <c r="I117" s="113">
        <v>2.77</v>
      </c>
      <c r="J117" s="104">
        <v>17697</v>
      </c>
      <c r="K117" s="76">
        <v>1.23</v>
      </c>
      <c r="L117" s="104">
        <f>(I117*17697*E117)*K117</f>
        <v>30147.72435</v>
      </c>
      <c r="M117" s="104"/>
      <c r="N117" s="104">
        <f>L117+M117</f>
        <v>30147.72435</v>
      </c>
      <c r="O117" s="104">
        <f>N117*10%</f>
        <v>3014.7724350000003</v>
      </c>
      <c r="P117" s="104"/>
      <c r="Q117" s="153">
        <f>J117*30%*E117</f>
        <v>2654.5499999999997</v>
      </c>
      <c r="R117" s="153"/>
      <c r="S117" s="105"/>
      <c r="T117" s="153"/>
      <c r="U117" s="105"/>
      <c r="V117" s="105"/>
      <c r="W117" s="105"/>
      <c r="X117" s="105"/>
      <c r="Y117" s="105"/>
      <c r="Z117" s="105"/>
      <c r="AA117" s="105">
        <f>SUM(N117:Z117)</f>
        <v>35817.046785000006</v>
      </c>
      <c r="AB117" s="105">
        <f>AA117*12/1000</f>
        <v>429.80456142000003</v>
      </c>
    </row>
    <row r="118" spans="1:28" s="147" customFormat="1" ht="25.5" x14ac:dyDescent="0.2">
      <c r="A118" s="77">
        <v>106</v>
      </c>
      <c r="B118" s="142" t="s">
        <v>304</v>
      </c>
      <c r="C118" s="142" t="s">
        <v>305</v>
      </c>
      <c r="D118" s="146" t="s">
        <v>349</v>
      </c>
      <c r="E118" s="77">
        <v>1</v>
      </c>
      <c r="F118" s="103"/>
      <c r="G118" s="77">
        <v>1</v>
      </c>
      <c r="H118" s="75"/>
      <c r="I118" s="113">
        <v>2.77</v>
      </c>
      <c r="J118" s="104">
        <v>17697</v>
      </c>
      <c r="K118" s="76">
        <v>1.23</v>
      </c>
      <c r="L118" s="104">
        <f t="shared" si="0"/>
        <v>60295.448700000001</v>
      </c>
      <c r="M118" s="104"/>
      <c r="N118" s="104">
        <f t="shared" si="7"/>
        <v>60295.448700000001</v>
      </c>
      <c r="O118" s="104">
        <f t="shared" si="8"/>
        <v>6029.5448700000006</v>
      </c>
      <c r="P118" s="104"/>
      <c r="Q118" s="153"/>
      <c r="R118" s="153"/>
      <c r="S118" s="105"/>
      <c r="T118" s="105">
        <f t="shared" ref="T118:T123" si="12">N118/20.42/8*243.33/2/3</f>
        <v>14968.669943857125</v>
      </c>
      <c r="U118" s="105"/>
      <c r="V118" s="105"/>
      <c r="W118" s="105"/>
      <c r="X118" s="105"/>
      <c r="Y118" s="105"/>
      <c r="Z118" s="105"/>
      <c r="AA118" s="105">
        <f t="shared" si="9"/>
        <v>81293.663513857129</v>
      </c>
      <c r="AB118" s="105">
        <f t="shared" si="10"/>
        <v>975.52396216628563</v>
      </c>
    </row>
    <row r="119" spans="1:28" s="147" customFormat="1" ht="25.5" x14ac:dyDescent="0.2">
      <c r="A119" s="77">
        <v>107</v>
      </c>
      <c r="B119" s="142" t="s">
        <v>304</v>
      </c>
      <c r="C119" s="142" t="s">
        <v>306</v>
      </c>
      <c r="D119" s="146" t="s">
        <v>349</v>
      </c>
      <c r="E119" s="77">
        <v>1</v>
      </c>
      <c r="F119" s="103"/>
      <c r="G119" s="77">
        <v>1</v>
      </c>
      <c r="H119" s="75"/>
      <c r="I119" s="113">
        <v>2.77</v>
      </c>
      <c r="J119" s="104">
        <v>17697</v>
      </c>
      <c r="K119" s="76">
        <v>1.23</v>
      </c>
      <c r="L119" s="104">
        <f t="shared" si="0"/>
        <v>60295.448700000001</v>
      </c>
      <c r="M119" s="104"/>
      <c r="N119" s="104">
        <f t="shared" si="7"/>
        <v>60295.448700000001</v>
      </c>
      <c r="O119" s="104">
        <f t="shared" si="8"/>
        <v>6029.5448700000006</v>
      </c>
      <c r="P119" s="104"/>
      <c r="Q119" s="153"/>
      <c r="R119" s="153"/>
      <c r="S119" s="105"/>
      <c r="T119" s="105">
        <f t="shared" si="12"/>
        <v>14968.669943857125</v>
      </c>
      <c r="U119" s="105"/>
      <c r="V119" s="105"/>
      <c r="W119" s="105"/>
      <c r="X119" s="105"/>
      <c r="Y119" s="105"/>
      <c r="Z119" s="105"/>
      <c r="AA119" s="105">
        <f t="shared" si="9"/>
        <v>81293.663513857129</v>
      </c>
      <c r="AB119" s="105">
        <f t="shared" si="10"/>
        <v>975.52396216628563</v>
      </c>
    </row>
    <row r="120" spans="1:28" s="147" customFormat="1" ht="25.5" x14ac:dyDescent="0.2">
      <c r="A120" s="77">
        <v>108</v>
      </c>
      <c r="B120" s="142" t="s">
        <v>304</v>
      </c>
      <c r="C120" s="142" t="s">
        <v>307</v>
      </c>
      <c r="D120" s="146" t="s">
        <v>349</v>
      </c>
      <c r="E120" s="77">
        <v>1</v>
      </c>
      <c r="F120" s="103"/>
      <c r="G120" s="77">
        <v>1</v>
      </c>
      <c r="H120" s="75"/>
      <c r="I120" s="113">
        <v>2.77</v>
      </c>
      <c r="J120" s="104">
        <v>17697</v>
      </c>
      <c r="K120" s="76">
        <v>1.23</v>
      </c>
      <c r="L120" s="104">
        <f t="shared" si="0"/>
        <v>60295.448700000001</v>
      </c>
      <c r="M120" s="104"/>
      <c r="N120" s="104">
        <f t="shared" si="7"/>
        <v>60295.448700000001</v>
      </c>
      <c r="O120" s="104">
        <f t="shared" si="8"/>
        <v>6029.5448700000006</v>
      </c>
      <c r="P120" s="104"/>
      <c r="Q120" s="153"/>
      <c r="R120" s="153"/>
      <c r="S120" s="105"/>
      <c r="T120" s="105">
        <f t="shared" si="12"/>
        <v>14968.669943857125</v>
      </c>
      <c r="U120" s="105"/>
      <c r="V120" s="105"/>
      <c r="W120" s="105"/>
      <c r="X120" s="105"/>
      <c r="Y120" s="105"/>
      <c r="Z120" s="105"/>
      <c r="AA120" s="105">
        <f t="shared" si="9"/>
        <v>81293.663513857129</v>
      </c>
      <c r="AB120" s="105">
        <f t="shared" si="10"/>
        <v>975.52396216628563</v>
      </c>
    </row>
    <row r="121" spans="1:28" s="147" customFormat="1" ht="12.75" x14ac:dyDescent="0.2">
      <c r="A121" s="77">
        <v>109</v>
      </c>
      <c r="B121" s="142" t="s">
        <v>304</v>
      </c>
      <c r="C121" s="142" t="s">
        <v>308</v>
      </c>
      <c r="D121" s="146" t="s">
        <v>349</v>
      </c>
      <c r="E121" s="77">
        <v>1</v>
      </c>
      <c r="F121" s="103"/>
      <c r="G121" s="77">
        <v>1</v>
      </c>
      <c r="H121" s="75"/>
      <c r="I121" s="113">
        <v>2.77</v>
      </c>
      <c r="J121" s="104">
        <v>17697</v>
      </c>
      <c r="K121" s="76">
        <v>1.23</v>
      </c>
      <c r="L121" s="104">
        <f t="shared" si="0"/>
        <v>60295.448700000001</v>
      </c>
      <c r="M121" s="104"/>
      <c r="N121" s="104">
        <f t="shared" si="7"/>
        <v>60295.448700000001</v>
      </c>
      <c r="O121" s="104">
        <f t="shared" si="8"/>
        <v>6029.5448700000006</v>
      </c>
      <c r="P121" s="104"/>
      <c r="Q121" s="153"/>
      <c r="R121" s="153"/>
      <c r="S121" s="105"/>
      <c r="T121" s="105">
        <f t="shared" si="12"/>
        <v>14968.669943857125</v>
      </c>
      <c r="U121" s="105"/>
      <c r="V121" s="105"/>
      <c r="W121" s="105"/>
      <c r="X121" s="105"/>
      <c r="Y121" s="105"/>
      <c r="Z121" s="105"/>
      <c r="AA121" s="105">
        <f t="shared" si="9"/>
        <v>81293.663513857129</v>
      </c>
      <c r="AB121" s="105">
        <f t="shared" si="10"/>
        <v>975.52396216628563</v>
      </c>
    </row>
    <row r="122" spans="1:28" s="147" customFormat="1" ht="12.75" x14ac:dyDescent="0.2">
      <c r="A122" s="77">
        <v>110</v>
      </c>
      <c r="B122" s="142" t="s">
        <v>304</v>
      </c>
      <c r="C122" s="142" t="s">
        <v>309</v>
      </c>
      <c r="D122" s="146" t="s">
        <v>349</v>
      </c>
      <c r="E122" s="77">
        <v>1</v>
      </c>
      <c r="F122" s="103"/>
      <c r="G122" s="77">
        <v>1</v>
      </c>
      <c r="H122" s="75"/>
      <c r="I122" s="113">
        <v>2.77</v>
      </c>
      <c r="J122" s="104">
        <v>17697</v>
      </c>
      <c r="K122" s="76">
        <v>1.23</v>
      </c>
      <c r="L122" s="104">
        <f t="shared" si="0"/>
        <v>60295.448700000001</v>
      </c>
      <c r="M122" s="104"/>
      <c r="N122" s="104">
        <f t="shared" si="7"/>
        <v>60295.448700000001</v>
      </c>
      <c r="O122" s="104">
        <f t="shared" si="8"/>
        <v>6029.5448700000006</v>
      </c>
      <c r="P122" s="104"/>
      <c r="Q122" s="153"/>
      <c r="R122" s="153"/>
      <c r="S122" s="105"/>
      <c r="T122" s="105">
        <f t="shared" si="12"/>
        <v>14968.669943857125</v>
      </c>
      <c r="U122" s="105"/>
      <c r="V122" s="105"/>
      <c r="W122" s="105"/>
      <c r="X122" s="105"/>
      <c r="Y122" s="105"/>
      <c r="Z122" s="105"/>
      <c r="AA122" s="105">
        <f t="shared" si="9"/>
        <v>81293.663513857129</v>
      </c>
      <c r="AB122" s="105">
        <f t="shared" si="10"/>
        <v>975.52396216628563</v>
      </c>
    </row>
    <row r="123" spans="1:28" s="147" customFormat="1" ht="12.75" x14ac:dyDescent="0.2">
      <c r="A123" s="77">
        <v>111</v>
      </c>
      <c r="B123" s="142" t="s">
        <v>304</v>
      </c>
      <c r="C123" s="142" t="s">
        <v>310</v>
      </c>
      <c r="D123" s="146" t="s">
        <v>349</v>
      </c>
      <c r="E123" s="77">
        <v>1</v>
      </c>
      <c r="F123" s="103"/>
      <c r="G123" s="77">
        <v>1</v>
      </c>
      <c r="H123" s="75"/>
      <c r="I123" s="113">
        <v>2.77</v>
      </c>
      <c r="J123" s="104">
        <v>17697</v>
      </c>
      <c r="K123" s="76">
        <v>1.23</v>
      </c>
      <c r="L123" s="104">
        <f t="shared" si="0"/>
        <v>60295.448700000001</v>
      </c>
      <c r="M123" s="104"/>
      <c r="N123" s="104">
        <f t="shared" si="7"/>
        <v>60295.448700000001</v>
      </c>
      <c r="O123" s="104">
        <f t="shared" si="8"/>
        <v>6029.5448700000006</v>
      </c>
      <c r="P123" s="104"/>
      <c r="Q123" s="153"/>
      <c r="R123" s="153"/>
      <c r="S123" s="105"/>
      <c r="T123" s="105">
        <f t="shared" si="12"/>
        <v>14968.669943857125</v>
      </c>
      <c r="U123" s="105"/>
      <c r="V123" s="105"/>
      <c r="W123" s="105"/>
      <c r="X123" s="105"/>
      <c r="Y123" s="105"/>
      <c r="Z123" s="105"/>
      <c r="AA123" s="105">
        <f t="shared" si="9"/>
        <v>81293.663513857129</v>
      </c>
      <c r="AB123" s="105">
        <f t="shared" si="10"/>
        <v>975.52396216628563</v>
      </c>
    </row>
    <row r="124" spans="1:28" s="147" customFormat="1" ht="25.5" x14ac:dyDescent="0.2">
      <c r="A124" s="77">
        <v>112</v>
      </c>
      <c r="B124" s="142" t="s">
        <v>311</v>
      </c>
      <c r="C124" s="142" t="s">
        <v>272</v>
      </c>
      <c r="D124" s="146" t="s">
        <v>349</v>
      </c>
      <c r="E124" s="77">
        <v>0.5</v>
      </c>
      <c r="F124" s="103"/>
      <c r="G124" s="77">
        <v>1</v>
      </c>
      <c r="H124" s="75"/>
      <c r="I124" s="113">
        <v>2.77</v>
      </c>
      <c r="J124" s="104">
        <v>17697</v>
      </c>
      <c r="K124" s="76">
        <v>1.23</v>
      </c>
      <c r="L124" s="104">
        <f t="shared" si="0"/>
        <v>30147.72435</v>
      </c>
      <c r="M124" s="104"/>
      <c r="N124" s="104">
        <f t="shared" si="7"/>
        <v>30147.72435</v>
      </c>
      <c r="O124" s="104">
        <f t="shared" si="8"/>
        <v>3014.7724350000003</v>
      </c>
      <c r="P124" s="104"/>
      <c r="Q124" s="155"/>
      <c r="R124" s="153"/>
      <c r="S124" s="105"/>
      <c r="T124" s="153"/>
      <c r="U124" s="105"/>
      <c r="V124" s="105"/>
      <c r="W124" s="105"/>
      <c r="X124" s="105"/>
      <c r="Y124" s="105"/>
      <c r="Z124" s="105"/>
      <c r="AA124" s="105">
        <f t="shared" si="9"/>
        <v>33162.496785000003</v>
      </c>
      <c r="AB124" s="105">
        <f t="shared" si="10"/>
        <v>397.94996142000008</v>
      </c>
    </row>
    <row r="125" spans="1:28" s="147" customFormat="1" ht="12.75" x14ac:dyDescent="0.2">
      <c r="A125" s="77">
        <v>113</v>
      </c>
      <c r="B125" s="142" t="s">
        <v>311</v>
      </c>
      <c r="C125" s="142" t="s">
        <v>292</v>
      </c>
      <c r="D125" s="146" t="s">
        <v>349</v>
      </c>
      <c r="E125" s="77">
        <v>1</v>
      </c>
      <c r="F125" s="103"/>
      <c r="G125" s="77">
        <v>1</v>
      </c>
      <c r="H125" s="75"/>
      <c r="I125" s="113">
        <v>2.77</v>
      </c>
      <c r="J125" s="104">
        <v>17697</v>
      </c>
      <c r="K125" s="76">
        <v>1.23</v>
      </c>
      <c r="L125" s="104">
        <f t="shared" si="0"/>
        <v>60295.448700000001</v>
      </c>
      <c r="M125" s="104"/>
      <c r="N125" s="104">
        <f t="shared" si="7"/>
        <v>60295.448700000001</v>
      </c>
      <c r="O125" s="104">
        <f t="shared" si="8"/>
        <v>6029.5448700000006</v>
      </c>
      <c r="P125" s="104"/>
      <c r="Q125" s="153"/>
      <c r="R125" s="153"/>
      <c r="S125" s="105"/>
      <c r="T125" s="153"/>
      <c r="U125" s="105"/>
      <c r="V125" s="105"/>
      <c r="W125" s="105"/>
      <c r="X125" s="105"/>
      <c r="Y125" s="105"/>
      <c r="Z125" s="105"/>
      <c r="AA125" s="105">
        <f t="shared" si="9"/>
        <v>66324.993570000006</v>
      </c>
      <c r="AB125" s="105">
        <f t="shared" si="10"/>
        <v>795.89992284000016</v>
      </c>
    </row>
    <row r="126" spans="1:28" s="147" customFormat="1" ht="25.5" x14ac:dyDescent="0.2">
      <c r="A126" s="77">
        <v>114</v>
      </c>
      <c r="B126" s="142" t="s">
        <v>311</v>
      </c>
      <c r="C126" s="142" t="s">
        <v>312</v>
      </c>
      <c r="D126" s="146" t="s">
        <v>349</v>
      </c>
      <c r="E126" s="77">
        <v>1.5</v>
      </c>
      <c r="F126" s="103"/>
      <c r="G126" s="77">
        <v>1</v>
      </c>
      <c r="H126" s="75"/>
      <c r="I126" s="113">
        <v>2.77</v>
      </c>
      <c r="J126" s="104">
        <v>17697</v>
      </c>
      <c r="K126" s="76">
        <v>1.23</v>
      </c>
      <c r="L126" s="104">
        <f t="shared" si="0"/>
        <v>90443.173049999998</v>
      </c>
      <c r="M126" s="104"/>
      <c r="N126" s="104">
        <f t="shared" si="7"/>
        <v>90443.173049999998</v>
      </c>
      <c r="O126" s="104">
        <f t="shared" si="8"/>
        <v>9044.3173050000005</v>
      </c>
      <c r="P126" s="104"/>
      <c r="Q126" s="153"/>
      <c r="R126" s="153"/>
      <c r="S126" s="105"/>
      <c r="T126" s="153"/>
      <c r="U126" s="105"/>
      <c r="V126" s="105"/>
      <c r="W126" s="105"/>
      <c r="X126" s="105"/>
      <c r="Y126" s="105"/>
      <c r="Z126" s="105"/>
      <c r="AA126" s="105">
        <f t="shared" si="9"/>
        <v>99487.490355000002</v>
      </c>
      <c r="AB126" s="105">
        <f t="shared" si="10"/>
        <v>1193.84988426</v>
      </c>
    </row>
    <row r="127" spans="1:28" s="147" customFormat="1" ht="12.75" x14ac:dyDescent="0.2">
      <c r="A127" s="77">
        <v>115</v>
      </c>
      <c r="B127" s="142" t="s">
        <v>311</v>
      </c>
      <c r="C127" s="142" t="s">
        <v>313</v>
      </c>
      <c r="D127" s="146" t="s">
        <v>349</v>
      </c>
      <c r="E127" s="77">
        <v>0.5</v>
      </c>
      <c r="F127" s="103"/>
      <c r="G127" s="77">
        <v>1</v>
      </c>
      <c r="H127" s="75"/>
      <c r="I127" s="113">
        <v>2.77</v>
      </c>
      <c r="J127" s="104">
        <v>17697</v>
      </c>
      <c r="K127" s="76">
        <v>1.23</v>
      </c>
      <c r="L127" s="104">
        <f t="shared" si="0"/>
        <v>30147.72435</v>
      </c>
      <c r="M127" s="104"/>
      <c r="N127" s="104">
        <f t="shared" si="7"/>
        <v>30147.72435</v>
      </c>
      <c r="O127" s="104">
        <f t="shared" si="8"/>
        <v>3014.7724350000003</v>
      </c>
      <c r="P127" s="104"/>
      <c r="Q127" s="153"/>
      <c r="R127" s="153"/>
      <c r="S127" s="105"/>
      <c r="T127" s="153"/>
      <c r="U127" s="105"/>
      <c r="V127" s="105"/>
      <c r="W127" s="105"/>
      <c r="X127" s="105"/>
      <c r="Y127" s="105"/>
      <c r="Z127" s="105"/>
      <c r="AA127" s="105">
        <f t="shared" si="9"/>
        <v>33162.496785000003</v>
      </c>
      <c r="AB127" s="105">
        <f t="shared" si="10"/>
        <v>397.94996142000008</v>
      </c>
    </row>
    <row r="128" spans="1:28" s="147" customFormat="1" ht="25.5" x14ac:dyDescent="0.2">
      <c r="A128" s="77">
        <v>116</v>
      </c>
      <c r="B128" s="142" t="s">
        <v>311</v>
      </c>
      <c r="C128" s="142" t="s">
        <v>190</v>
      </c>
      <c r="D128" s="146" t="s">
        <v>349</v>
      </c>
      <c r="E128" s="77">
        <v>0.5</v>
      </c>
      <c r="F128" s="103"/>
      <c r="G128" s="77">
        <v>1</v>
      </c>
      <c r="H128" s="75"/>
      <c r="I128" s="113">
        <v>2.77</v>
      </c>
      <c r="J128" s="104">
        <v>17697</v>
      </c>
      <c r="K128" s="76">
        <v>1.23</v>
      </c>
      <c r="L128" s="104">
        <f t="shared" si="0"/>
        <v>30147.72435</v>
      </c>
      <c r="M128" s="104"/>
      <c r="N128" s="104">
        <f t="shared" si="7"/>
        <v>30147.72435</v>
      </c>
      <c r="O128" s="104">
        <f t="shared" si="8"/>
        <v>3014.7724350000003</v>
      </c>
      <c r="P128" s="104"/>
      <c r="Q128" s="153"/>
      <c r="R128" s="153"/>
      <c r="S128" s="105"/>
      <c r="T128" s="153"/>
      <c r="U128" s="105"/>
      <c r="V128" s="105"/>
      <c r="W128" s="105"/>
      <c r="X128" s="105"/>
      <c r="Y128" s="105"/>
      <c r="Z128" s="105"/>
      <c r="AA128" s="105">
        <f t="shared" si="9"/>
        <v>33162.496785000003</v>
      </c>
      <c r="AB128" s="105">
        <f t="shared" si="10"/>
        <v>397.94996142000008</v>
      </c>
    </row>
    <row r="129" spans="1:30" s="147" customFormat="1" ht="25.5" x14ac:dyDescent="0.2">
      <c r="A129" s="77">
        <v>117</v>
      </c>
      <c r="B129" s="142" t="s">
        <v>314</v>
      </c>
      <c r="C129" s="142" t="s">
        <v>315</v>
      </c>
      <c r="D129" s="146" t="s">
        <v>350</v>
      </c>
      <c r="E129" s="77">
        <v>1</v>
      </c>
      <c r="F129" s="103"/>
      <c r="G129" s="77">
        <v>2</v>
      </c>
      <c r="H129" s="75"/>
      <c r="I129" s="116">
        <v>2.81</v>
      </c>
      <c r="J129" s="104">
        <v>17697</v>
      </c>
      <c r="K129" s="76">
        <v>1.23</v>
      </c>
      <c r="L129" s="104">
        <f t="shared" si="0"/>
        <v>61166.141100000001</v>
      </c>
      <c r="M129" s="104"/>
      <c r="N129" s="104">
        <f t="shared" si="7"/>
        <v>61166.141100000001</v>
      </c>
      <c r="O129" s="104">
        <f t="shared" si="8"/>
        <v>6116.6141100000004</v>
      </c>
      <c r="P129" s="104"/>
      <c r="Q129" s="153"/>
      <c r="R129" s="106"/>
      <c r="S129" s="105"/>
      <c r="T129" s="106"/>
      <c r="U129" s="105"/>
      <c r="V129" s="105"/>
      <c r="W129" s="105"/>
      <c r="X129" s="105"/>
      <c r="Y129" s="105"/>
      <c r="Z129" s="105"/>
      <c r="AA129" s="105">
        <f t="shared" si="9"/>
        <v>67282.755210000003</v>
      </c>
      <c r="AB129" s="105">
        <f t="shared" si="10"/>
        <v>807.39306252000006</v>
      </c>
    </row>
    <row r="130" spans="1:30" s="147" customFormat="1" ht="18" customHeight="1" x14ac:dyDescent="0.2">
      <c r="A130" s="77">
        <v>118</v>
      </c>
      <c r="B130" s="142" t="s">
        <v>316</v>
      </c>
      <c r="C130" s="142" t="s">
        <v>300</v>
      </c>
      <c r="D130" s="146" t="s">
        <v>349</v>
      </c>
      <c r="E130" s="77">
        <v>1</v>
      </c>
      <c r="F130" s="103"/>
      <c r="G130" s="103">
        <v>5</v>
      </c>
      <c r="H130" s="156"/>
      <c r="I130" s="157">
        <v>2.92</v>
      </c>
      <c r="J130" s="104">
        <v>17697</v>
      </c>
      <c r="K130" s="76">
        <v>1.23</v>
      </c>
      <c r="L130" s="104">
        <f t="shared" si="0"/>
        <v>63560.545199999993</v>
      </c>
      <c r="M130" s="104"/>
      <c r="N130" s="104">
        <f t="shared" si="7"/>
        <v>63560.545199999993</v>
      </c>
      <c r="O130" s="104">
        <f t="shared" si="8"/>
        <v>6356.0545199999997</v>
      </c>
      <c r="P130" s="104"/>
      <c r="Q130" s="153"/>
      <c r="R130" s="153">
        <f>E130*J130*35%</f>
        <v>6193.95</v>
      </c>
      <c r="S130" s="105"/>
      <c r="T130" s="153"/>
      <c r="U130" s="105"/>
      <c r="V130" s="105"/>
      <c r="W130" s="105"/>
      <c r="X130" s="105"/>
      <c r="Y130" s="105"/>
      <c r="Z130" s="105"/>
      <c r="AA130" s="105">
        <f t="shared" si="9"/>
        <v>76110.549719999995</v>
      </c>
      <c r="AB130" s="105">
        <f t="shared" si="10"/>
        <v>913.32659663999993</v>
      </c>
    </row>
    <row r="131" spans="1:30" s="147" customFormat="1" ht="25.5" x14ac:dyDescent="0.2">
      <c r="A131" s="77">
        <v>119</v>
      </c>
      <c r="B131" s="143" t="s">
        <v>283</v>
      </c>
      <c r="C131" s="143" t="s">
        <v>141</v>
      </c>
      <c r="D131" s="146" t="s">
        <v>349</v>
      </c>
      <c r="E131" s="103">
        <v>0.5</v>
      </c>
      <c r="F131" s="103"/>
      <c r="G131" s="103">
        <v>2</v>
      </c>
      <c r="H131" s="156"/>
      <c r="I131" s="157">
        <v>2.81</v>
      </c>
      <c r="J131" s="104">
        <v>17697</v>
      </c>
      <c r="K131" s="76">
        <v>1.23</v>
      </c>
      <c r="L131" s="104">
        <f t="shared" si="0"/>
        <v>30583.07055</v>
      </c>
      <c r="M131" s="104"/>
      <c r="N131" s="104">
        <f t="shared" si="7"/>
        <v>30583.07055</v>
      </c>
      <c r="O131" s="104">
        <f t="shared" si="8"/>
        <v>3058.3070550000002</v>
      </c>
      <c r="P131" s="104"/>
      <c r="Q131" s="153">
        <f>J131*30%*E131</f>
        <v>2654.5499999999997</v>
      </c>
      <c r="R131" s="153"/>
      <c r="S131" s="105"/>
      <c r="T131" s="153"/>
      <c r="U131" s="105"/>
      <c r="V131" s="105"/>
      <c r="W131" s="105"/>
      <c r="X131" s="105"/>
      <c r="Y131" s="105"/>
      <c r="Z131" s="105"/>
      <c r="AA131" s="105">
        <f t="shared" si="9"/>
        <v>36295.927605000004</v>
      </c>
      <c r="AB131" s="105">
        <f t="shared" si="10"/>
        <v>435.55113126000003</v>
      </c>
    </row>
    <row r="132" spans="1:30" s="151" customFormat="1" ht="20.25" customHeight="1" x14ac:dyDescent="0.2">
      <c r="A132" s="145"/>
      <c r="B132" s="144" t="s">
        <v>71</v>
      </c>
      <c r="C132" s="144"/>
      <c r="D132" s="138"/>
      <c r="E132" s="107">
        <f>SUM(E13:E131)</f>
        <v>116.5</v>
      </c>
      <c r="F132" s="138"/>
      <c r="G132" s="138"/>
      <c r="H132" s="108"/>
      <c r="I132" s="117"/>
      <c r="J132" s="55"/>
      <c r="K132" s="150"/>
      <c r="L132" s="55">
        <f t="shared" ref="L132:AB132" si="13">SUM(L13:L131)</f>
        <v>11466891.312630007</v>
      </c>
      <c r="M132" s="55">
        <f t="shared" si="13"/>
        <v>0</v>
      </c>
      <c r="N132" s="55">
        <f t="shared" si="13"/>
        <v>11466891.312630007</v>
      </c>
      <c r="O132" s="55">
        <f t="shared" si="13"/>
        <v>1146689.1312630002</v>
      </c>
      <c r="P132" s="55">
        <f t="shared" si="13"/>
        <v>0</v>
      </c>
      <c r="Q132" s="55">
        <f t="shared" si="13"/>
        <v>120339.6</v>
      </c>
      <c r="R132" s="55">
        <f t="shared" si="13"/>
        <v>6193.95</v>
      </c>
      <c r="S132" s="55">
        <f t="shared" si="13"/>
        <v>20568.082588148867</v>
      </c>
      <c r="T132" s="55">
        <f t="shared" si="13"/>
        <v>246213.00516858854</v>
      </c>
      <c r="U132" s="55">
        <f t="shared" si="13"/>
        <v>0</v>
      </c>
      <c r="V132" s="55">
        <f t="shared" si="13"/>
        <v>39765.159</v>
      </c>
      <c r="W132" s="55">
        <f t="shared" si="13"/>
        <v>371358.27224999998</v>
      </c>
      <c r="X132" s="55">
        <f t="shared" si="13"/>
        <v>457856.78399999999</v>
      </c>
      <c r="Y132" s="55">
        <f t="shared" si="13"/>
        <v>0</v>
      </c>
      <c r="Z132" s="55">
        <f t="shared" si="13"/>
        <v>650751.87187499995</v>
      </c>
      <c r="AA132" s="55">
        <f t="shared" si="13"/>
        <v>14526627.168774741</v>
      </c>
      <c r="AB132" s="55">
        <f t="shared" si="13"/>
        <v>174319.5260252968</v>
      </c>
      <c r="AD132" s="151">
        <v>174834</v>
      </c>
    </row>
    <row r="134" spans="1:30" ht="28.5" customHeight="1" x14ac:dyDescent="0.2">
      <c r="B134" s="118" t="s">
        <v>351</v>
      </c>
      <c r="C134" s="119">
        <v>6</v>
      </c>
      <c r="D134" s="120"/>
      <c r="E134" s="121"/>
      <c r="F134" s="121"/>
      <c r="G134" s="122"/>
    </row>
    <row r="135" spans="1:30" ht="28.5" customHeight="1" x14ac:dyDescent="0.2">
      <c r="B135" s="123" t="s">
        <v>352</v>
      </c>
      <c r="C135" s="124"/>
      <c r="D135" s="124"/>
      <c r="E135" s="124" t="s">
        <v>354</v>
      </c>
      <c r="F135" s="125"/>
      <c r="G135" s="126" t="s">
        <v>353</v>
      </c>
    </row>
    <row r="139" spans="1:30" ht="28.5" customHeight="1" x14ac:dyDescent="0.2">
      <c r="G139" s="109"/>
      <c r="H139" s="109"/>
    </row>
  </sheetData>
  <sheetProtection password="C7B7" sheet="1"/>
  <autoFilter ref="A12:AD132" xr:uid="{00000000-0009-0000-0000-000001000000}"/>
  <mergeCells count="19">
    <mergeCell ref="B11:B12"/>
    <mergeCell ref="C11:C12"/>
    <mergeCell ref="E11:E12"/>
    <mergeCell ref="A9:AB9"/>
    <mergeCell ref="G11:G12"/>
    <mergeCell ref="I11:I12"/>
    <mergeCell ref="L11:L12"/>
    <mergeCell ref="F11:F12"/>
    <mergeCell ref="AB11:AB12"/>
    <mergeCell ref="D11:D12"/>
    <mergeCell ref="AA11:AA12"/>
    <mergeCell ref="K11:K12"/>
    <mergeCell ref="H11:H12"/>
    <mergeCell ref="J11:J12"/>
    <mergeCell ref="M11:M12"/>
    <mergeCell ref="N11:N12"/>
    <mergeCell ref="O11:U11"/>
    <mergeCell ref="V11:Z11"/>
    <mergeCell ref="A11:A12"/>
  </mergeCells>
  <phoneticPr fontId="0" type="noConversion"/>
  <pageMargins left="0" right="0" top="0.39370078740157483" bottom="0.39370078740157483" header="0.51181102362204722" footer="0.51181102362204722"/>
  <pageSetup paperSize="9" scale="64" fitToHeight="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AO103"/>
  <sheetViews>
    <sheetView topLeftCell="I1" zoomScale="91" zoomScaleNormal="84" zoomScaleSheetLayoutView="91" workbookViewId="0">
      <selection sqref="A1:AM26"/>
    </sheetView>
  </sheetViews>
  <sheetFormatPr defaultColWidth="9.140625" defaultRowHeight="14.25" x14ac:dyDescent="0.2"/>
  <cols>
    <col min="1" max="1" width="7" customWidth="1"/>
    <col min="2" max="2" width="20.42578125" customWidth="1"/>
    <col min="3" max="3" width="12.85546875" customWidth="1"/>
    <col min="4" max="4" width="7.5703125" customWidth="1"/>
    <col min="5" max="5" width="7.7109375" customWidth="1"/>
    <col min="6" max="6" width="6.7109375" customWidth="1"/>
    <col min="7" max="7" width="6" customWidth="1"/>
    <col min="8" max="8" width="7.5703125" style="198" customWidth="1"/>
    <col min="9" max="9" width="6" style="136" customWidth="1"/>
    <col min="10" max="10" width="7.5703125" style="41" customWidth="1"/>
    <col min="11" max="11" width="6.85546875" style="27" customWidth="1"/>
    <col min="12" max="12" width="10.7109375" style="41" customWidth="1"/>
    <col min="13" max="13" width="8.42578125" customWidth="1"/>
    <col min="14" max="14" width="5.85546875" customWidth="1"/>
    <col min="15" max="15" width="11.7109375" style="41" customWidth="1"/>
    <col min="16" max="16" width="6.5703125" customWidth="1"/>
    <col min="17" max="17" width="11" style="41" customWidth="1"/>
    <col min="18" max="18" width="10" hidden="1" customWidth="1"/>
    <col min="19" max="19" width="10.5703125" style="41" customWidth="1"/>
    <col min="20" max="20" width="8.28515625" style="14" customWidth="1"/>
    <col min="21" max="21" width="6.140625" style="14" customWidth="1"/>
    <col min="22" max="22" width="6.140625" customWidth="1"/>
    <col min="23" max="23" width="9.85546875" style="41" customWidth="1"/>
    <col min="24" max="24" width="4.85546875" customWidth="1"/>
    <col min="25" max="25" width="8.42578125" style="34" customWidth="1"/>
    <col min="26" max="26" width="9.140625" style="41" customWidth="1"/>
    <col min="27" max="27" width="10.42578125" style="41" customWidth="1"/>
    <col min="28" max="28" width="9.140625" style="41" customWidth="1"/>
    <col min="29" max="29" width="11.7109375" customWidth="1"/>
    <col min="30" max="30" width="7" customWidth="1"/>
    <col min="31" max="31" width="10.28515625" customWidth="1"/>
    <col min="32" max="32" width="7.5703125" customWidth="1"/>
    <col min="33" max="33" width="9" customWidth="1"/>
    <col min="34" max="34" width="8.5703125" customWidth="1"/>
    <col min="35" max="35" width="10.5703125" customWidth="1"/>
    <col min="36" max="36" width="9.140625" customWidth="1"/>
    <col min="37" max="37" width="11.5703125" customWidth="1"/>
    <col min="38" max="38" width="11.5703125" style="41" customWidth="1"/>
    <col min="39" max="39" width="10.5703125" style="41" customWidth="1"/>
  </cols>
  <sheetData>
    <row r="1" spans="1:41" s="2" customFormat="1" ht="15" x14ac:dyDescent="0.25">
      <c r="A1" s="82"/>
      <c r="C1" s="82"/>
      <c r="D1" s="82"/>
      <c r="E1" s="82"/>
      <c r="F1" s="84"/>
      <c r="G1" s="85"/>
      <c r="H1" s="187"/>
      <c r="I1" s="127"/>
      <c r="J1" s="178"/>
      <c r="K1" s="86"/>
      <c r="L1" s="85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5"/>
      <c r="Z1" s="82"/>
      <c r="AA1" s="82"/>
      <c r="AB1" s="82"/>
      <c r="AC1" s="82"/>
      <c r="AD1" s="3"/>
      <c r="AE1" s="83" t="s">
        <v>9</v>
      </c>
      <c r="AF1" s="3"/>
      <c r="AG1" s="49"/>
      <c r="AH1" s="49"/>
      <c r="AI1" s="50"/>
      <c r="AJ1" s="49"/>
      <c r="AK1" s="49"/>
      <c r="AL1" s="50"/>
      <c r="AM1" s="50"/>
      <c r="AN1" s="50"/>
      <c r="AO1" s="42"/>
    </row>
    <row r="2" spans="1:41" s="2" customFormat="1" ht="15" x14ac:dyDescent="0.25">
      <c r="A2" s="82"/>
      <c r="C2" s="82"/>
      <c r="D2" s="82"/>
      <c r="E2" s="82"/>
      <c r="F2" s="84"/>
      <c r="G2" s="85"/>
      <c r="H2" s="187"/>
      <c r="I2" s="127"/>
      <c r="J2" s="178"/>
      <c r="K2" s="86"/>
      <c r="L2" s="85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5"/>
      <c r="Z2" s="82"/>
      <c r="AA2" s="82"/>
      <c r="AB2" s="82"/>
      <c r="AC2" s="82"/>
      <c r="AD2" s="3"/>
      <c r="AE2" s="82" t="s">
        <v>38</v>
      </c>
      <c r="AF2" s="3"/>
      <c r="AG2" s="51"/>
      <c r="AH2" s="51"/>
      <c r="AI2" s="50"/>
      <c r="AJ2" s="51"/>
      <c r="AK2" s="51"/>
      <c r="AL2" s="50"/>
      <c r="AM2" s="50"/>
      <c r="AN2" s="50"/>
      <c r="AO2" s="18"/>
    </row>
    <row r="3" spans="1:41" s="2" customFormat="1" ht="15" x14ac:dyDescent="0.25">
      <c r="A3" s="82"/>
      <c r="C3" s="82"/>
      <c r="D3" s="82"/>
      <c r="E3" s="82"/>
      <c r="F3" s="84"/>
      <c r="G3" s="85"/>
      <c r="H3" s="187"/>
      <c r="I3" s="127"/>
      <c r="J3" s="178"/>
      <c r="K3" s="86"/>
      <c r="L3" s="85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5"/>
      <c r="Z3" s="82"/>
      <c r="AA3" s="82"/>
      <c r="AB3" s="82"/>
      <c r="AC3" s="82"/>
      <c r="AE3" s="83" t="s">
        <v>341</v>
      </c>
      <c r="AG3" s="49"/>
      <c r="AH3" s="49"/>
      <c r="AI3" s="50"/>
      <c r="AJ3" s="49"/>
      <c r="AK3" s="49"/>
      <c r="AL3" s="50"/>
      <c r="AM3" s="50"/>
      <c r="AN3" s="50"/>
      <c r="AO3" s="18"/>
    </row>
    <row r="4" spans="1:41" s="2" customFormat="1" ht="24.75" customHeight="1" x14ac:dyDescent="0.25">
      <c r="A4" s="82"/>
      <c r="C4" s="82"/>
      <c r="D4" s="82"/>
      <c r="E4" s="82"/>
      <c r="F4" s="84"/>
      <c r="G4" s="85"/>
      <c r="H4" s="187"/>
      <c r="I4" s="127"/>
      <c r="J4" s="178"/>
      <c r="K4" s="86"/>
      <c r="L4" s="85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5"/>
      <c r="Z4" s="82"/>
      <c r="AA4" s="82"/>
      <c r="AB4" s="82"/>
      <c r="AC4" s="82"/>
      <c r="AE4" s="83" t="s">
        <v>332</v>
      </c>
      <c r="AG4" s="49"/>
      <c r="AH4" s="49"/>
      <c r="AI4" s="50"/>
      <c r="AJ4" s="49"/>
      <c r="AK4" s="49"/>
      <c r="AL4" s="50"/>
      <c r="AM4" s="50"/>
      <c r="AN4" s="50"/>
      <c r="AO4" s="18"/>
    </row>
    <row r="5" spans="1:41" s="2" customFormat="1" x14ac:dyDescent="0.2">
      <c r="A5" s="82"/>
      <c r="C5" s="82"/>
      <c r="D5" s="82"/>
      <c r="E5" s="82"/>
      <c r="F5" s="84"/>
      <c r="G5" s="85"/>
      <c r="H5" s="187"/>
      <c r="I5" s="127"/>
      <c r="J5" s="178"/>
      <c r="K5" s="86"/>
      <c r="L5" s="85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5"/>
      <c r="Z5" s="82"/>
      <c r="AA5" s="82"/>
      <c r="AB5" s="82"/>
      <c r="AC5" s="82"/>
      <c r="AE5" s="83" t="s">
        <v>342</v>
      </c>
      <c r="AG5" s="49"/>
      <c r="AH5" s="49"/>
      <c r="AI5" s="50"/>
      <c r="AJ5" s="49"/>
      <c r="AK5" s="49"/>
      <c r="AL5" s="50"/>
      <c r="AM5" s="50"/>
      <c r="AN5" s="50"/>
    </row>
    <row r="6" spans="1:41" s="2" customFormat="1" ht="14.25" customHeight="1" x14ac:dyDescent="0.2">
      <c r="A6" s="82"/>
      <c r="B6" s="82"/>
      <c r="C6" s="344"/>
      <c r="D6" s="344"/>
      <c r="E6" s="344"/>
      <c r="F6" s="344"/>
      <c r="G6" s="82"/>
      <c r="H6" s="188"/>
      <c r="I6" s="82"/>
      <c r="J6" s="178"/>
      <c r="K6" s="86"/>
      <c r="L6" s="85"/>
      <c r="M6" s="82"/>
      <c r="N6" s="82"/>
      <c r="O6" s="82"/>
      <c r="P6" s="82"/>
      <c r="Q6" s="82"/>
      <c r="R6" s="82"/>
      <c r="S6" s="82"/>
      <c r="T6" s="82"/>
      <c r="U6" s="82"/>
      <c r="AE6" s="83" t="s">
        <v>343</v>
      </c>
      <c r="AG6" s="49"/>
      <c r="AH6" s="49"/>
      <c r="AI6" s="50"/>
      <c r="AJ6" s="49"/>
      <c r="AK6" s="49"/>
      <c r="AL6" s="50"/>
      <c r="AM6" s="50"/>
      <c r="AN6" s="50"/>
    </row>
    <row r="7" spans="1:41" s="2" customFormat="1" ht="14.25" customHeight="1" x14ac:dyDescent="0.2">
      <c r="A7" s="82"/>
      <c r="B7" s="352"/>
      <c r="C7" s="353"/>
      <c r="D7" s="353"/>
      <c r="E7" s="354"/>
      <c r="F7" s="88" t="s">
        <v>15</v>
      </c>
      <c r="G7" s="88" t="s">
        <v>16</v>
      </c>
      <c r="H7" s="189" t="s">
        <v>17</v>
      </c>
      <c r="I7" s="88"/>
      <c r="J7" s="178"/>
      <c r="K7" s="86"/>
      <c r="L7" s="85"/>
      <c r="M7" s="82"/>
      <c r="N7" s="82"/>
      <c r="O7" s="82"/>
      <c r="P7" s="82"/>
      <c r="Q7" s="82"/>
      <c r="R7" s="82"/>
      <c r="S7" s="82"/>
      <c r="T7" s="82"/>
      <c r="U7" s="82"/>
      <c r="AG7" s="49"/>
      <c r="AH7" s="49"/>
      <c r="AI7" s="50"/>
      <c r="AJ7" s="49"/>
      <c r="AK7" s="49"/>
      <c r="AL7" s="50"/>
      <c r="AM7" s="50"/>
      <c r="AN7" s="50"/>
    </row>
    <row r="8" spans="1:41" s="2" customFormat="1" ht="14.25" customHeight="1" x14ac:dyDescent="0.2">
      <c r="A8" s="82"/>
      <c r="B8" s="93" t="s">
        <v>18</v>
      </c>
      <c r="C8" s="94"/>
      <c r="D8" s="94"/>
      <c r="E8" s="87"/>
      <c r="F8" s="95">
        <v>276</v>
      </c>
      <c r="G8" s="95">
        <f>N89</f>
        <v>731</v>
      </c>
      <c r="H8" s="190">
        <f t="shared" ref="H8:H14" si="0">F8+G8</f>
        <v>1007</v>
      </c>
      <c r="I8" s="88"/>
      <c r="J8" s="179"/>
      <c r="K8" s="92"/>
      <c r="L8" s="91"/>
      <c r="M8" s="89"/>
      <c r="N8" s="89"/>
      <c r="O8" s="89"/>
      <c r="P8" s="89"/>
      <c r="Q8" s="89"/>
      <c r="R8" s="89"/>
      <c r="S8" s="89"/>
      <c r="T8" s="89"/>
      <c r="U8" s="89"/>
      <c r="AG8" s="52"/>
      <c r="AH8" s="52"/>
      <c r="AI8" s="52"/>
      <c r="AJ8" s="52"/>
      <c r="AK8" s="52"/>
      <c r="AL8" s="52"/>
      <c r="AM8" s="52"/>
      <c r="AN8" s="52"/>
    </row>
    <row r="9" spans="1:41" s="2" customFormat="1" ht="14.25" customHeight="1" x14ac:dyDescent="0.2">
      <c r="A9" s="85"/>
      <c r="B9" s="96" t="s">
        <v>344</v>
      </c>
      <c r="C9" s="94"/>
      <c r="D9" s="98"/>
      <c r="E9" s="99"/>
      <c r="F9" s="88">
        <v>337</v>
      </c>
      <c r="G9" s="88">
        <v>125</v>
      </c>
      <c r="H9" s="190">
        <f t="shared" si="0"/>
        <v>462</v>
      </c>
      <c r="I9" s="88"/>
      <c r="J9" s="179"/>
      <c r="K9" s="90"/>
      <c r="L9" s="91"/>
      <c r="M9" s="89"/>
      <c r="N9" s="89"/>
      <c r="O9" s="89"/>
      <c r="P9" s="89"/>
      <c r="Q9" s="89"/>
      <c r="R9" s="89"/>
      <c r="S9" s="91"/>
      <c r="T9" s="91"/>
      <c r="U9" s="91"/>
      <c r="AG9" s="53"/>
      <c r="AH9" s="53"/>
      <c r="AI9" s="53"/>
      <c r="AJ9" s="53"/>
      <c r="AK9" s="53"/>
      <c r="AL9" s="54"/>
      <c r="AM9" s="42"/>
    </row>
    <row r="10" spans="1:41" s="2" customFormat="1" ht="14.25" customHeight="1" x14ac:dyDescent="0.25">
      <c r="A10" s="85"/>
      <c r="B10" s="96" t="s">
        <v>345</v>
      </c>
      <c r="C10" s="94"/>
      <c r="D10" s="98"/>
      <c r="E10" s="99"/>
      <c r="F10" s="88">
        <v>15</v>
      </c>
      <c r="G10" s="88">
        <v>6</v>
      </c>
      <c r="H10" s="190">
        <f t="shared" si="0"/>
        <v>21</v>
      </c>
      <c r="I10" s="88"/>
      <c r="J10" s="180"/>
      <c r="K10" s="139"/>
      <c r="L10" s="139"/>
      <c r="M10" s="139"/>
      <c r="N10" s="139"/>
      <c r="O10" s="139"/>
      <c r="P10" s="139"/>
      <c r="Q10" s="139"/>
      <c r="R10" s="139"/>
      <c r="S10" s="139"/>
      <c r="T10" s="91"/>
      <c r="U10" s="91"/>
      <c r="AG10" s="38"/>
      <c r="AH10" s="38"/>
      <c r="AI10" s="38"/>
      <c r="AJ10" s="38"/>
      <c r="AK10" s="38"/>
      <c r="AL10" s="18"/>
      <c r="AM10" s="42"/>
    </row>
    <row r="11" spans="1:41" s="2" customFormat="1" ht="14.25" customHeight="1" x14ac:dyDescent="0.25">
      <c r="A11" s="85"/>
      <c r="B11" s="96" t="s">
        <v>346</v>
      </c>
      <c r="C11" s="94"/>
      <c r="D11" s="98"/>
      <c r="E11" s="99"/>
      <c r="F11" s="88">
        <v>15</v>
      </c>
      <c r="G11" s="88">
        <v>6</v>
      </c>
      <c r="H11" s="190">
        <f t="shared" si="0"/>
        <v>21</v>
      </c>
      <c r="I11" s="88"/>
      <c r="J11" s="180"/>
      <c r="K11" s="139"/>
      <c r="L11" s="139"/>
      <c r="M11" s="139"/>
      <c r="N11" s="139"/>
      <c r="O11" s="139"/>
      <c r="P11" s="139"/>
      <c r="Q11" s="139"/>
      <c r="R11" s="139"/>
      <c r="S11" s="139"/>
      <c r="T11" s="91"/>
      <c r="U11" s="91"/>
      <c r="AG11" s="12"/>
      <c r="AH11" s="12"/>
      <c r="AI11" s="12"/>
      <c r="AJ11" s="12"/>
      <c r="AK11" s="12"/>
      <c r="AL11" s="18"/>
      <c r="AM11" s="42"/>
    </row>
    <row r="12" spans="1:41" s="2" customFormat="1" ht="14.25" customHeight="1" x14ac:dyDescent="0.25">
      <c r="A12" s="85"/>
      <c r="B12" s="96" t="s">
        <v>19</v>
      </c>
      <c r="C12" s="94"/>
      <c r="D12" s="98"/>
      <c r="E12" s="99"/>
      <c r="F12" s="95">
        <v>276</v>
      </c>
      <c r="G12" s="95">
        <f>G8</f>
        <v>731</v>
      </c>
      <c r="H12" s="190">
        <f t="shared" si="0"/>
        <v>1007</v>
      </c>
      <c r="I12" s="95"/>
      <c r="J12" s="180"/>
      <c r="K12" s="139"/>
      <c r="L12" s="139"/>
      <c r="M12" s="139"/>
      <c r="N12" s="139"/>
      <c r="O12" s="139"/>
      <c r="P12" s="139"/>
      <c r="Q12" s="139"/>
      <c r="R12" s="139"/>
      <c r="S12" s="139"/>
      <c r="T12" s="85"/>
      <c r="U12" s="85"/>
      <c r="AG12" s="12"/>
      <c r="AH12" s="12"/>
      <c r="AI12" s="12"/>
      <c r="AJ12" s="12"/>
      <c r="AK12" s="12"/>
      <c r="AL12" s="18"/>
      <c r="AM12" s="42"/>
    </row>
    <row r="13" spans="1:41" s="2" customFormat="1" ht="19.5" customHeight="1" x14ac:dyDescent="0.25">
      <c r="A13" s="85"/>
      <c r="B13" s="96" t="s">
        <v>20</v>
      </c>
      <c r="C13" s="94"/>
      <c r="D13" s="98"/>
      <c r="E13" s="99"/>
      <c r="F13" s="95">
        <v>276</v>
      </c>
      <c r="G13" s="95">
        <f>G8</f>
        <v>731</v>
      </c>
      <c r="H13" s="190">
        <f t="shared" si="0"/>
        <v>1007</v>
      </c>
      <c r="I13" s="95"/>
      <c r="J13" s="180"/>
      <c r="K13" s="139"/>
      <c r="L13" s="139"/>
      <c r="M13" s="139"/>
      <c r="N13" s="139"/>
      <c r="O13" s="139"/>
      <c r="P13" s="139"/>
      <c r="Q13" s="139"/>
      <c r="R13" s="139"/>
      <c r="S13" s="139"/>
      <c r="T13" s="85"/>
      <c r="U13" s="85"/>
      <c r="AG13" s="4"/>
      <c r="AH13" s="4"/>
      <c r="AI13" s="4"/>
      <c r="AJ13" s="4"/>
      <c r="AK13" s="4"/>
      <c r="AL13" s="18"/>
      <c r="AM13" s="42"/>
    </row>
    <row r="14" spans="1:41" s="2" customFormat="1" ht="17.25" customHeight="1" x14ac:dyDescent="0.25">
      <c r="A14" s="85"/>
      <c r="B14" s="96" t="s">
        <v>21</v>
      </c>
      <c r="C14" s="94"/>
      <c r="D14" s="97"/>
      <c r="E14" s="87"/>
      <c r="F14" s="95">
        <v>276</v>
      </c>
      <c r="G14" s="95">
        <v>731</v>
      </c>
      <c r="H14" s="190">
        <f t="shared" si="0"/>
        <v>1007</v>
      </c>
      <c r="I14" s="95"/>
      <c r="J14" s="178"/>
      <c r="K14" s="84"/>
      <c r="L14" s="85"/>
      <c r="M14" s="82"/>
      <c r="N14" s="82"/>
      <c r="O14" s="82"/>
      <c r="P14" s="82"/>
      <c r="Q14" s="82"/>
      <c r="R14" s="82"/>
      <c r="S14" s="82"/>
      <c r="T14" s="82"/>
      <c r="U14" s="82"/>
      <c r="AD14" s="13"/>
      <c r="AE14" s="13"/>
      <c r="AF14" s="13"/>
      <c r="AG14" s="13"/>
      <c r="AH14" s="13"/>
      <c r="AI14" s="13"/>
      <c r="AJ14" s="13"/>
      <c r="AK14" s="13"/>
      <c r="AL14" s="18"/>
      <c r="AM14" s="42"/>
    </row>
    <row r="15" spans="1:41" s="2" customFormat="1" ht="17.25" customHeight="1" x14ac:dyDescent="0.25">
      <c r="A15" s="85"/>
      <c r="B15" s="158"/>
      <c r="C15" s="82"/>
      <c r="D15" s="158"/>
      <c r="E15" s="85"/>
      <c r="F15" s="83"/>
      <c r="G15" s="83"/>
      <c r="H15" s="191"/>
      <c r="I15" s="83"/>
      <c r="J15" s="178"/>
      <c r="K15" s="84"/>
      <c r="L15" s="85"/>
      <c r="M15" s="82"/>
      <c r="N15" s="82"/>
      <c r="O15" s="82"/>
      <c r="P15" s="82"/>
      <c r="Q15" s="82"/>
      <c r="R15" s="82"/>
      <c r="S15" s="82"/>
      <c r="T15" s="82"/>
      <c r="U15" s="82"/>
      <c r="AD15" s="13"/>
      <c r="AE15" s="13"/>
      <c r="AF15" s="13"/>
      <c r="AG15" s="13"/>
      <c r="AH15" s="13"/>
      <c r="AI15" s="13"/>
      <c r="AJ15" s="13"/>
      <c r="AK15" s="13"/>
      <c r="AL15" s="18"/>
      <c r="AM15" s="42"/>
    </row>
    <row r="16" spans="1:41" s="2" customFormat="1" ht="32.25" customHeight="1" x14ac:dyDescent="0.2">
      <c r="A16" s="343" t="s">
        <v>355</v>
      </c>
      <c r="B16" s="344"/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4"/>
      <c r="AA16" s="344"/>
      <c r="AB16" s="344"/>
      <c r="AC16" s="344"/>
      <c r="AD16" s="344"/>
      <c r="AE16" s="344"/>
      <c r="AF16" s="344"/>
      <c r="AG16" s="344"/>
      <c r="AH16" s="344"/>
      <c r="AI16" s="344"/>
      <c r="AJ16" s="344"/>
      <c r="AK16" s="344"/>
      <c r="AL16" s="344"/>
      <c r="AM16" s="344"/>
    </row>
    <row r="17" spans="1:40" s="2" customFormat="1" ht="17.25" customHeight="1" x14ac:dyDescent="0.25">
      <c r="A17" s="85"/>
      <c r="B17" s="158"/>
      <c r="C17" s="82"/>
      <c r="D17" s="158"/>
      <c r="E17" s="85"/>
      <c r="F17" s="83"/>
      <c r="G17" s="83"/>
      <c r="H17" s="191"/>
      <c r="I17" s="83"/>
      <c r="J17" s="178"/>
      <c r="K17" s="84"/>
      <c r="L17" s="85"/>
      <c r="M17" s="82"/>
      <c r="N17" s="82"/>
      <c r="O17" s="82"/>
      <c r="P17" s="82"/>
      <c r="Q17" s="82"/>
      <c r="R17" s="82"/>
      <c r="S17" s="82"/>
      <c r="T17" s="82"/>
      <c r="U17" s="82"/>
      <c r="AD17" s="13"/>
      <c r="AE17" s="13"/>
      <c r="AF17" s="13"/>
      <c r="AG17" s="13"/>
      <c r="AH17" s="13"/>
      <c r="AI17" s="13"/>
      <c r="AJ17" s="13"/>
      <c r="AK17" s="13"/>
      <c r="AL17" s="18"/>
      <c r="AM17" s="42"/>
    </row>
    <row r="18" spans="1:40" s="2" customFormat="1" ht="14.25" customHeight="1" x14ac:dyDescent="0.2">
      <c r="A18" s="22"/>
      <c r="B18" s="21"/>
      <c r="C18" s="21"/>
      <c r="D18" s="22"/>
      <c r="E18" s="22"/>
      <c r="F18" s="22"/>
      <c r="G18" s="22"/>
      <c r="H18" s="182"/>
      <c r="I18" s="128"/>
      <c r="J18" s="45"/>
      <c r="K18" s="22"/>
      <c r="L18" s="45"/>
      <c r="M18" s="22"/>
      <c r="N18" s="22"/>
      <c r="O18" s="45"/>
      <c r="P18" s="22"/>
      <c r="Q18" s="46"/>
      <c r="R18" s="22"/>
      <c r="S18" s="45"/>
      <c r="T18" s="22"/>
      <c r="U18" s="22"/>
      <c r="V18" s="22"/>
      <c r="W18" s="45"/>
      <c r="X18" s="22"/>
      <c r="Y18" s="37"/>
      <c r="Z18" s="45"/>
      <c r="AA18" s="45"/>
      <c r="AB18" s="45"/>
      <c r="AC18" s="22"/>
      <c r="AD18" s="346"/>
      <c r="AE18" s="346"/>
      <c r="AF18" s="346"/>
      <c r="AG18" s="346"/>
      <c r="AH18" s="346"/>
      <c r="AI18" s="346"/>
      <c r="AJ18" s="346"/>
      <c r="AK18" s="346"/>
      <c r="AL18" s="346"/>
      <c r="AM18" s="42"/>
    </row>
    <row r="19" spans="1:40" s="20" customFormat="1" ht="25.5" customHeight="1" x14ac:dyDescent="0.2">
      <c r="A19" s="335" t="s">
        <v>22</v>
      </c>
      <c r="B19" s="335" t="s">
        <v>23</v>
      </c>
      <c r="C19" s="335" t="s">
        <v>24</v>
      </c>
      <c r="D19" s="336" t="s">
        <v>25</v>
      </c>
      <c r="E19" s="348" t="s">
        <v>56</v>
      </c>
      <c r="F19" s="336" t="s">
        <v>35</v>
      </c>
      <c r="G19" s="336" t="s">
        <v>72</v>
      </c>
      <c r="H19" s="355" t="s">
        <v>26</v>
      </c>
      <c r="I19" s="356" t="s">
        <v>27</v>
      </c>
      <c r="J19" s="338" t="s">
        <v>53</v>
      </c>
      <c r="K19" s="348" t="s">
        <v>57</v>
      </c>
      <c r="L19" s="338" t="s">
        <v>58</v>
      </c>
      <c r="M19" s="337" t="s">
        <v>28</v>
      </c>
      <c r="N19" s="335" t="s">
        <v>29</v>
      </c>
      <c r="O19" s="335"/>
      <c r="P19" s="335"/>
      <c r="Q19" s="335"/>
      <c r="R19" s="348" t="s">
        <v>60</v>
      </c>
      <c r="S19" s="350" t="s">
        <v>42</v>
      </c>
      <c r="T19" s="339">
        <v>0.1</v>
      </c>
      <c r="U19" s="17"/>
      <c r="V19" s="335" t="s">
        <v>30</v>
      </c>
      <c r="W19" s="335"/>
      <c r="X19" s="335"/>
      <c r="Y19" s="335"/>
      <c r="Z19" s="335"/>
      <c r="AA19" s="334" t="s">
        <v>41</v>
      </c>
      <c r="AB19" s="347" t="s">
        <v>39</v>
      </c>
      <c r="AC19" s="345" t="s">
        <v>65</v>
      </c>
      <c r="AD19" s="336" t="s">
        <v>31</v>
      </c>
      <c r="AE19" s="345" t="s">
        <v>62</v>
      </c>
      <c r="AF19" s="345" t="s">
        <v>40</v>
      </c>
      <c r="AG19" s="340" t="s">
        <v>63</v>
      </c>
      <c r="AH19" s="341"/>
      <c r="AI19" s="341"/>
      <c r="AJ19" s="342"/>
      <c r="AK19" s="40"/>
      <c r="AL19" s="338" t="s">
        <v>66</v>
      </c>
      <c r="AM19" s="338" t="s">
        <v>67</v>
      </c>
    </row>
    <row r="20" spans="1:40" s="20" customFormat="1" ht="64.5" customHeight="1" x14ac:dyDescent="0.2">
      <c r="A20" s="335"/>
      <c r="B20" s="335"/>
      <c r="C20" s="335"/>
      <c r="D20" s="336"/>
      <c r="E20" s="349"/>
      <c r="F20" s="336"/>
      <c r="G20" s="336"/>
      <c r="H20" s="355"/>
      <c r="I20" s="356"/>
      <c r="J20" s="338"/>
      <c r="K20" s="349"/>
      <c r="L20" s="338"/>
      <c r="M20" s="337"/>
      <c r="N20" s="15" t="s">
        <v>32</v>
      </c>
      <c r="O20" s="43" t="s">
        <v>33</v>
      </c>
      <c r="P20" s="16" t="s">
        <v>32</v>
      </c>
      <c r="Q20" s="43" t="s">
        <v>33</v>
      </c>
      <c r="R20" s="349"/>
      <c r="S20" s="351"/>
      <c r="T20" s="335"/>
      <c r="U20" s="15"/>
      <c r="V20" s="15" t="s">
        <v>34</v>
      </c>
      <c r="W20" s="47" t="s">
        <v>33</v>
      </c>
      <c r="X20" s="15" t="s">
        <v>32</v>
      </c>
      <c r="Y20" s="17" t="s">
        <v>61</v>
      </c>
      <c r="Z20" s="47" t="s">
        <v>33</v>
      </c>
      <c r="AA20" s="334"/>
      <c r="AB20" s="347"/>
      <c r="AC20" s="336"/>
      <c r="AD20" s="336"/>
      <c r="AE20" s="345"/>
      <c r="AF20" s="345"/>
      <c r="AG20" s="39" t="s">
        <v>45</v>
      </c>
      <c r="AH20" s="39" t="s">
        <v>46</v>
      </c>
      <c r="AI20" s="39" t="s">
        <v>64</v>
      </c>
      <c r="AJ20" s="39" t="s">
        <v>47</v>
      </c>
      <c r="AK20" s="39" t="s">
        <v>68</v>
      </c>
      <c r="AL20" s="338"/>
      <c r="AM20" s="338"/>
    </row>
    <row r="21" spans="1:40" s="2" customFormat="1" ht="30" x14ac:dyDescent="0.2">
      <c r="A21" s="56">
        <v>1</v>
      </c>
      <c r="B21" s="58" t="s">
        <v>74</v>
      </c>
      <c r="C21" s="61" t="s">
        <v>142</v>
      </c>
      <c r="D21" s="23" t="s">
        <v>37</v>
      </c>
      <c r="E21" s="26">
        <v>0.5</v>
      </c>
      <c r="F21" s="56" t="s">
        <v>174</v>
      </c>
      <c r="G21" s="23" t="s">
        <v>37</v>
      </c>
      <c r="H21" s="185" t="s">
        <v>359</v>
      </c>
      <c r="I21" s="129">
        <v>5.24</v>
      </c>
      <c r="J21" s="44">
        <v>17697</v>
      </c>
      <c r="K21" s="24">
        <v>1.75</v>
      </c>
      <c r="L21" s="44">
        <f>K21*J21*I21</f>
        <v>162281.49000000002</v>
      </c>
      <c r="M21" s="25">
        <f>N21+P21</f>
        <v>8</v>
      </c>
      <c r="N21" s="56">
        <v>8</v>
      </c>
      <c r="O21" s="44">
        <f>L21/16*N21</f>
        <v>81140.74500000001</v>
      </c>
      <c r="P21" s="69"/>
      <c r="Q21" s="44"/>
      <c r="R21" s="25"/>
      <c r="S21" s="44">
        <f>R21+Q21+O21</f>
        <v>81140.74500000001</v>
      </c>
      <c r="T21" s="44">
        <f>S21*10%</f>
        <v>8114.0745000000015</v>
      </c>
      <c r="U21" s="44"/>
      <c r="V21" s="71">
        <v>0</v>
      </c>
      <c r="W21" s="44">
        <f>(J21/16*V21*20%)</f>
        <v>0</v>
      </c>
      <c r="X21" s="72"/>
      <c r="Y21" s="33"/>
      <c r="Z21" s="44"/>
      <c r="AA21" s="48"/>
      <c r="AB21" s="44"/>
      <c r="AC21" s="44">
        <f>S21*30%</f>
        <v>24342.223500000004</v>
      </c>
      <c r="AD21" s="26"/>
      <c r="AE21" s="44"/>
      <c r="AF21" s="44"/>
      <c r="AG21" s="181"/>
      <c r="AH21" s="44"/>
      <c r="AI21" s="44"/>
      <c r="AJ21" s="44"/>
      <c r="AK21" s="44"/>
      <c r="AL21" s="44">
        <f>AJ21+AI21+AH21+AG21+AF21+AE21+AC21+AB21+AA21+Z21+W21+T21+S21+AK21</f>
        <v>113597.04300000002</v>
      </c>
      <c r="AM21" s="44">
        <f>AL21*12/1000</f>
        <v>1363.1645160000003</v>
      </c>
      <c r="AN21" s="204">
        <f>SUM(M21-X21)</f>
        <v>8</v>
      </c>
    </row>
    <row r="22" spans="1:40" s="2" customFormat="1" ht="30" x14ac:dyDescent="0.2">
      <c r="A22" s="56">
        <v>2</v>
      </c>
      <c r="B22" s="59" t="s">
        <v>75</v>
      </c>
      <c r="C22" s="61" t="s">
        <v>142</v>
      </c>
      <c r="D22" s="23" t="s">
        <v>37</v>
      </c>
      <c r="E22" s="26">
        <f>(N22/16)+(P22/16)</f>
        <v>0.5</v>
      </c>
      <c r="F22" s="56" t="s">
        <v>174</v>
      </c>
      <c r="G22" s="23" t="s">
        <v>37</v>
      </c>
      <c r="H22" s="185" t="s">
        <v>361</v>
      </c>
      <c r="I22" s="129">
        <v>5.24</v>
      </c>
      <c r="J22" s="44">
        <v>17697</v>
      </c>
      <c r="K22" s="24">
        <v>1.75</v>
      </c>
      <c r="L22" s="44">
        <f t="shared" ref="L22:L85" si="1">K22*J22*I22</f>
        <v>162281.49000000002</v>
      </c>
      <c r="M22" s="25">
        <f t="shared" ref="M22:M85" si="2">N22+P22</f>
        <v>8</v>
      </c>
      <c r="N22" s="56">
        <v>8</v>
      </c>
      <c r="O22" s="44">
        <f t="shared" ref="O22:O85" si="3">L22/16*N22</f>
        <v>81140.74500000001</v>
      </c>
      <c r="P22" s="69"/>
      <c r="Q22" s="44"/>
      <c r="R22" s="25"/>
      <c r="S22" s="44">
        <f t="shared" ref="S22:S85" si="4">R22+Q22+O22</f>
        <v>81140.74500000001</v>
      </c>
      <c r="T22" s="44">
        <f t="shared" ref="T22:T85" si="5">S22*10%</f>
        <v>8114.0745000000015</v>
      </c>
      <c r="U22" s="44"/>
      <c r="V22" s="72">
        <v>0</v>
      </c>
      <c r="W22" s="44">
        <f>(J22/16*V22*20%)</f>
        <v>0</v>
      </c>
      <c r="X22" s="72"/>
      <c r="Y22" s="33"/>
      <c r="Z22" s="44"/>
      <c r="AA22" s="48">
        <f>3063*10</f>
        <v>30630</v>
      </c>
      <c r="AB22" s="44"/>
      <c r="AC22" s="44">
        <f t="shared" ref="AC22:AC85" si="6">S22*30%</f>
        <v>24342.223500000004</v>
      </c>
      <c r="AD22" s="26"/>
      <c r="AE22" s="44"/>
      <c r="AF22" s="44"/>
      <c r="AG22" s="181"/>
      <c r="AH22" s="44"/>
      <c r="AI22" s="44"/>
      <c r="AJ22" s="44">
        <f>S22*0.5</f>
        <v>40570.372500000005</v>
      </c>
      <c r="AK22" s="44"/>
      <c r="AL22" s="44">
        <f t="shared" ref="AL22:AL85" si="7">AJ22+AI22+AH22+AG22+AF22+AE22+AC22+AB22+AA22+Z22+W22+T22+S22+AK22</f>
        <v>184797.4155</v>
      </c>
      <c r="AM22" s="44">
        <f t="shared" ref="AM22:AM85" si="8">AL22*12/1000</f>
        <v>2217.5689860000002</v>
      </c>
      <c r="AN22" s="204">
        <f t="shared" ref="AN22:AN85" si="9">SUM(M22-X22)</f>
        <v>8</v>
      </c>
    </row>
    <row r="23" spans="1:40" s="2" customFormat="1" ht="38.25" x14ac:dyDescent="0.2">
      <c r="A23" s="56">
        <v>3</v>
      </c>
      <c r="B23" s="59" t="s">
        <v>76</v>
      </c>
      <c r="C23" s="61" t="s">
        <v>143</v>
      </c>
      <c r="D23" s="23" t="s">
        <v>37</v>
      </c>
      <c r="E23" s="26">
        <f t="shared" ref="E23:E86" si="10">(N23/16)+(P23/16)</f>
        <v>0.5</v>
      </c>
      <c r="F23" s="56" t="s">
        <v>175</v>
      </c>
      <c r="G23" s="23"/>
      <c r="H23" s="186" t="s">
        <v>363</v>
      </c>
      <c r="I23" s="129">
        <v>4.7300000000000004</v>
      </c>
      <c r="J23" s="44">
        <v>17697</v>
      </c>
      <c r="K23" s="24">
        <v>1.75</v>
      </c>
      <c r="L23" s="44">
        <f t="shared" si="1"/>
        <v>146486.91750000001</v>
      </c>
      <c r="M23" s="25">
        <f t="shared" si="2"/>
        <v>8</v>
      </c>
      <c r="N23" s="56">
        <v>8</v>
      </c>
      <c r="O23" s="44">
        <f t="shared" si="3"/>
        <v>73243.458750000005</v>
      </c>
      <c r="P23" s="69"/>
      <c r="Q23" s="44"/>
      <c r="R23" s="25"/>
      <c r="S23" s="44">
        <f t="shared" si="4"/>
        <v>73243.458750000005</v>
      </c>
      <c r="T23" s="44">
        <f t="shared" si="5"/>
        <v>7324.3458750000009</v>
      </c>
      <c r="U23" s="44"/>
      <c r="V23" s="72">
        <v>0</v>
      </c>
      <c r="W23" s="44">
        <f t="shared" ref="W23:W86" si="11">(J23/16*V23*20%)</f>
        <v>0</v>
      </c>
      <c r="X23" s="72"/>
      <c r="Y23" s="33"/>
      <c r="Z23" s="44"/>
      <c r="AA23" s="48"/>
      <c r="AB23" s="44"/>
      <c r="AC23" s="44">
        <f t="shared" si="6"/>
        <v>21973.037625000001</v>
      </c>
      <c r="AD23" s="26"/>
      <c r="AE23" s="44"/>
      <c r="AF23" s="44"/>
      <c r="AG23" s="181"/>
      <c r="AH23" s="44"/>
      <c r="AI23" s="44"/>
      <c r="AJ23" s="44"/>
      <c r="AK23" s="44"/>
      <c r="AL23" s="44">
        <f t="shared" si="7"/>
        <v>102540.84225000002</v>
      </c>
      <c r="AM23" s="44">
        <f t="shared" si="8"/>
        <v>1230.4901070000003</v>
      </c>
      <c r="AN23" s="204">
        <f t="shared" si="9"/>
        <v>8</v>
      </c>
    </row>
    <row r="24" spans="1:40" s="2" customFormat="1" ht="38.25" x14ac:dyDescent="0.2">
      <c r="A24" s="56">
        <v>4</v>
      </c>
      <c r="B24" s="58" t="s">
        <v>77</v>
      </c>
      <c r="C24" s="61" t="s">
        <v>144</v>
      </c>
      <c r="D24" s="23" t="s">
        <v>37</v>
      </c>
      <c r="E24" s="26">
        <f t="shared" si="10"/>
        <v>0.5</v>
      </c>
      <c r="F24" s="56" t="s">
        <v>176</v>
      </c>
      <c r="G24" s="23" t="s">
        <v>37</v>
      </c>
      <c r="H24" s="185" t="s">
        <v>360</v>
      </c>
      <c r="I24" s="129">
        <v>5.41</v>
      </c>
      <c r="J24" s="44">
        <v>17697</v>
      </c>
      <c r="K24" s="24">
        <v>1.75</v>
      </c>
      <c r="L24" s="44">
        <f t="shared" si="1"/>
        <v>167546.3475</v>
      </c>
      <c r="M24" s="25">
        <f t="shared" si="2"/>
        <v>8</v>
      </c>
      <c r="N24" s="56">
        <v>8</v>
      </c>
      <c r="O24" s="44">
        <f t="shared" si="3"/>
        <v>83773.173750000002</v>
      </c>
      <c r="P24" s="69"/>
      <c r="Q24" s="44"/>
      <c r="R24" s="25"/>
      <c r="S24" s="44">
        <f t="shared" si="4"/>
        <v>83773.173750000002</v>
      </c>
      <c r="T24" s="44">
        <f t="shared" si="5"/>
        <v>8377.3173750000005</v>
      </c>
      <c r="U24" s="44"/>
      <c r="V24" s="72">
        <v>0</v>
      </c>
      <c r="W24" s="44">
        <f t="shared" si="11"/>
        <v>0</v>
      </c>
      <c r="X24" s="72">
        <v>6</v>
      </c>
      <c r="Y24" s="33">
        <v>0.5</v>
      </c>
      <c r="Z24" s="44">
        <f t="shared" ref="Z24:Z79" si="12">J24/16*X24*Y24</f>
        <v>3318.1875</v>
      </c>
      <c r="AA24" s="48"/>
      <c r="AB24" s="44"/>
      <c r="AC24" s="44">
        <f t="shared" si="6"/>
        <v>25131.952125</v>
      </c>
      <c r="AD24" s="26">
        <v>8</v>
      </c>
      <c r="AE24" s="44">
        <f t="shared" ref="AE24:AE84" si="13">J24/16*40%*AD24</f>
        <v>3539.4</v>
      </c>
      <c r="AF24" s="44"/>
      <c r="AG24" s="181"/>
      <c r="AH24" s="44"/>
      <c r="AI24" s="44">
        <f>S24*0.4</f>
        <v>33509.269500000002</v>
      </c>
      <c r="AJ24" s="44"/>
      <c r="AK24" s="44"/>
      <c r="AL24" s="44">
        <f t="shared" si="7"/>
        <v>157649.30025</v>
      </c>
      <c r="AM24" s="44">
        <f t="shared" si="8"/>
        <v>1891.7916030000001</v>
      </c>
      <c r="AN24" s="204">
        <f t="shared" si="9"/>
        <v>2</v>
      </c>
    </row>
    <row r="25" spans="1:40" s="2" customFormat="1" ht="38.25" x14ac:dyDescent="0.2">
      <c r="A25" s="56">
        <v>5</v>
      </c>
      <c r="B25" s="58" t="s">
        <v>78</v>
      </c>
      <c r="C25" s="61" t="s">
        <v>145</v>
      </c>
      <c r="D25" s="23" t="s">
        <v>37</v>
      </c>
      <c r="E25" s="26">
        <f t="shared" si="10"/>
        <v>1.125</v>
      </c>
      <c r="F25" s="56" t="s">
        <v>176</v>
      </c>
      <c r="G25" s="23" t="s">
        <v>37</v>
      </c>
      <c r="H25" s="185" t="s">
        <v>414</v>
      </c>
      <c r="I25" s="129">
        <v>5.41</v>
      </c>
      <c r="J25" s="44">
        <v>17697</v>
      </c>
      <c r="K25" s="24">
        <v>1.75</v>
      </c>
      <c r="L25" s="44">
        <f t="shared" si="1"/>
        <v>167546.3475</v>
      </c>
      <c r="M25" s="25">
        <f t="shared" si="2"/>
        <v>18</v>
      </c>
      <c r="N25" s="56">
        <v>18</v>
      </c>
      <c r="O25" s="44">
        <f t="shared" si="3"/>
        <v>188489.64093749999</v>
      </c>
      <c r="P25" s="69"/>
      <c r="Q25" s="44"/>
      <c r="R25" s="25"/>
      <c r="S25" s="44">
        <f t="shared" si="4"/>
        <v>188489.64093749999</v>
      </c>
      <c r="T25" s="44">
        <f t="shared" si="5"/>
        <v>18848.964093750001</v>
      </c>
      <c r="U25" s="44"/>
      <c r="V25" s="72">
        <v>0</v>
      </c>
      <c r="W25" s="44">
        <f t="shared" si="11"/>
        <v>0</v>
      </c>
      <c r="X25" s="72">
        <v>16</v>
      </c>
      <c r="Y25" s="33">
        <v>0.5</v>
      </c>
      <c r="Z25" s="44">
        <f t="shared" si="12"/>
        <v>8848.5</v>
      </c>
      <c r="AA25" s="48"/>
      <c r="AB25" s="44"/>
      <c r="AC25" s="44">
        <f t="shared" si="6"/>
        <v>56546.892281249995</v>
      </c>
      <c r="AD25" s="26"/>
      <c r="AE25" s="44"/>
      <c r="AF25" s="44"/>
      <c r="AG25" s="181"/>
      <c r="AH25" s="44"/>
      <c r="AI25" s="44">
        <f>S25*0.4</f>
        <v>75395.856375000003</v>
      </c>
      <c r="AJ25" s="44"/>
      <c r="AK25" s="44"/>
      <c r="AL25" s="44">
        <f t="shared" si="7"/>
        <v>348129.8536875</v>
      </c>
      <c r="AM25" s="44">
        <f t="shared" si="8"/>
        <v>4177.5582442499999</v>
      </c>
      <c r="AN25" s="204">
        <f t="shared" si="9"/>
        <v>2</v>
      </c>
    </row>
    <row r="26" spans="1:40" s="2" customFormat="1" ht="38.25" x14ac:dyDescent="0.2">
      <c r="A26" s="56">
        <v>6</v>
      </c>
      <c r="B26" s="59" t="s">
        <v>79</v>
      </c>
      <c r="C26" s="61" t="s">
        <v>146</v>
      </c>
      <c r="D26" s="23" t="s">
        <v>37</v>
      </c>
      <c r="E26" s="26">
        <f t="shared" si="10"/>
        <v>1</v>
      </c>
      <c r="F26" s="56" t="s">
        <v>174</v>
      </c>
      <c r="G26" s="23" t="s">
        <v>37</v>
      </c>
      <c r="H26" s="185" t="s">
        <v>415</v>
      </c>
      <c r="I26" s="129">
        <v>5.41</v>
      </c>
      <c r="J26" s="44">
        <v>17697</v>
      </c>
      <c r="K26" s="24">
        <v>1.75</v>
      </c>
      <c r="L26" s="44">
        <f t="shared" si="1"/>
        <v>167546.3475</v>
      </c>
      <c r="M26" s="25">
        <f t="shared" si="2"/>
        <v>16</v>
      </c>
      <c r="N26" s="56">
        <v>16</v>
      </c>
      <c r="O26" s="44">
        <f t="shared" si="3"/>
        <v>167546.3475</v>
      </c>
      <c r="P26" s="69"/>
      <c r="Q26" s="44"/>
      <c r="R26" s="25"/>
      <c r="S26" s="44">
        <f t="shared" si="4"/>
        <v>167546.3475</v>
      </c>
      <c r="T26" s="44">
        <f t="shared" si="5"/>
        <v>16754.634750000001</v>
      </c>
      <c r="U26" s="44"/>
      <c r="V26" s="72"/>
      <c r="W26" s="44">
        <f t="shared" si="11"/>
        <v>0</v>
      </c>
      <c r="X26" s="72">
        <v>11.5</v>
      </c>
      <c r="Y26" s="33">
        <v>0.5</v>
      </c>
      <c r="Z26" s="44">
        <f t="shared" si="12"/>
        <v>6359.859375</v>
      </c>
      <c r="AA26" s="48"/>
      <c r="AB26" s="44"/>
      <c r="AC26" s="44">
        <f t="shared" si="6"/>
        <v>50263.90425</v>
      </c>
      <c r="AD26" s="26"/>
      <c r="AE26" s="44"/>
      <c r="AF26" s="44"/>
      <c r="AG26" s="181"/>
      <c r="AH26" s="44"/>
      <c r="AI26" s="44">
        <f>S26*0.4</f>
        <v>67018.539000000004</v>
      </c>
      <c r="AJ26" s="44"/>
      <c r="AK26" s="44"/>
      <c r="AL26" s="44">
        <f t="shared" si="7"/>
        <v>307943.28487500001</v>
      </c>
      <c r="AM26" s="44">
        <f t="shared" si="8"/>
        <v>3695.3194185000002</v>
      </c>
      <c r="AN26" s="204">
        <f t="shared" si="9"/>
        <v>4.5</v>
      </c>
    </row>
    <row r="27" spans="1:40" s="2" customFormat="1" ht="38.25" x14ac:dyDescent="0.2">
      <c r="A27" s="56">
        <v>7</v>
      </c>
      <c r="B27" s="59" t="s">
        <v>80</v>
      </c>
      <c r="C27" s="61" t="s">
        <v>146</v>
      </c>
      <c r="D27" s="23" t="s">
        <v>37</v>
      </c>
      <c r="E27" s="26">
        <f t="shared" si="10"/>
        <v>1</v>
      </c>
      <c r="F27" s="56" t="s">
        <v>177</v>
      </c>
      <c r="G27" s="23" t="s">
        <v>70</v>
      </c>
      <c r="H27" s="185" t="s">
        <v>416</v>
      </c>
      <c r="I27" s="129">
        <v>4.99</v>
      </c>
      <c r="J27" s="44">
        <v>17697</v>
      </c>
      <c r="K27" s="24">
        <v>1.75</v>
      </c>
      <c r="L27" s="44">
        <f t="shared" si="1"/>
        <v>154539.05250000002</v>
      </c>
      <c r="M27" s="25">
        <f t="shared" si="2"/>
        <v>16</v>
      </c>
      <c r="N27" s="56">
        <v>16</v>
      </c>
      <c r="O27" s="44">
        <f t="shared" si="3"/>
        <v>154539.05250000002</v>
      </c>
      <c r="P27" s="69"/>
      <c r="Q27" s="44"/>
      <c r="R27" s="25"/>
      <c r="S27" s="44">
        <f t="shared" si="4"/>
        <v>154539.05250000002</v>
      </c>
      <c r="T27" s="44">
        <f t="shared" si="5"/>
        <v>15453.905250000003</v>
      </c>
      <c r="U27" s="44"/>
      <c r="V27" s="72"/>
      <c r="W27" s="44">
        <f t="shared" si="11"/>
        <v>0</v>
      </c>
      <c r="X27" s="72">
        <v>16</v>
      </c>
      <c r="Y27" s="33">
        <v>0.5</v>
      </c>
      <c r="Z27" s="44">
        <f t="shared" si="12"/>
        <v>8848.5</v>
      </c>
      <c r="AA27" s="48"/>
      <c r="AB27" s="44"/>
      <c r="AC27" s="44">
        <f t="shared" si="6"/>
        <v>46361.715750000003</v>
      </c>
      <c r="AD27" s="26"/>
      <c r="AE27" s="44"/>
      <c r="AF27" s="44"/>
      <c r="AG27" s="181"/>
      <c r="AH27" s="44"/>
      <c r="AI27" s="44"/>
      <c r="AJ27" s="44"/>
      <c r="AK27" s="44"/>
      <c r="AL27" s="44">
        <f t="shared" si="7"/>
        <v>225203.17350000003</v>
      </c>
      <c r="AM27" s="44">
        <f t="shared" si="8"/>
        <v>2702.4380820000006</v>
      </c>
      <c r="AN27" s="204">
        <f t="shared" si="9"/>
        <v>0</v>
      </c>
    </row>
    <row r="28" spans="1:40" s="2" customFormat="1" ht="38.25" x14ac:dyDescent="0.2">
      <c r="A28" s="56">
        <v>8</v>
      </c>
      <c r="B28" s="59" t="s">
        <v>81</v>
      </c>
      <c r="C28" s="61" t="s">
        <v>146</v>
      </c>
      <c r="D28" s="23" t="s">
        <v>37</v>
      </c>
      <c r="E28" s="26">
        <f t="shared" si="10"/>
        <v>0.5625</v>
      </c>
      <c r="F28" s="56" t="s">
        <v>175</v>
      </c>
      <c r="G28" s="23"/>
      <c r="H28" s="185" t="s">
        <v>380</v>
      </c>
      <c r="I28" s="129">
        <v>4.7300000000000004</v>
      </c>
      <c r="J28" s="44">
        <v>17697</v>
      </c>
      <c r="K28" s="24">
        <v>1.75</v>
      </c>
      <c r="L28" s="44">
        <f t="shared" si="1"/>
        <v>146486.91750000001</v>
      </c>
      <c r="M28" s="25">
        <f t="shared" si="2"/>
        <v>9</v>
      </c>
      <c r="N28" s="56">
        <v>9</v>
      </c>
      <c r="O28" s="44">
        <f t="shared" si="3"/>
        <v>82398.891093750004</v>
      </c>
      <c r="P28" s="69"/>
      <c r="Q28" s="44"/>
      <c r="R28" s="25"/>
      <c r="S28" s="44">
        <f t="shared" si="4"/>
        <v>82398.891093750004</v>
      </c>
      <c r="T28" s="44">
        <f t="shared" si="5"/>
        <v>8239.8891093750008</v>
      </c>
      <c r="U28" s="44"/>
      <c r="V28" s="72"/>
      <c r="W28" s="44">
        <f t="shared" si="11"/>
        <v>0</v>
      </c>
      <c r="X28" s="72">
        <v>9</v>
      </c>
      <c r="Y28" s="33">
        <v>0.5</v>
      </c>
      <c r="Z28" s="44">
        <f t="shared" si="12"/>
        <v>4977.28125</v>
      </c>
      <c r="AA28" s="48"/>
      <c r="AB28" s="44"/>
      <c r="AC28" s="44">
        <f t="shared" si="6"/>
        <v>24719.667328125</v>
      </c>
      <c r="AD28" s="26"/>
      <c r="AE28" s="44"/>
      <c r="AF28" s="44"/>
      <c r="AG28" s="181"/>
      <c r="AH28" s="44"/>
      <c r="AI28" s="44"/>
      <c r="AJ28" s="44"/>
      <c r="AK28" s="44"/>
      <c r="AL28" s="44">
        <f t="shared" si="7"/>
        <v>120335.72878125001</v>
      </c>
      <c r="AM28" s="44">
        <f t="shared" si="8"/>
        <v>1444.0287453750002</v>
      </c>
      <c r="AN28" s="204">
        <f t="shared" si="9"/>
        <v>0</v>
      </c>
    </row>
    <row r="29" spans="1:40" s="2" customFormat="1" ht="38.25" x14ac:dyDescent="0.2">
      <c r="A29" s="56">
        <v>9</v>
      </c>
      <c r="B29" s="59" t="s">
        <v>82</v>
      </c>
      <c r="C29" s="61" t="s">
        <v>145</v>
      </c>
      <c r="D29" s="23" t="s">
        <v>37</v>
      </c>
      <c r="E29" s="26">
        <f t="shared" si="10"/>
        <v>1.125</v>
      </c>
      <c r="F29" s="56" t="s">
        <v>174</v>
      </c>
      <c r="G29" s="23" t="s">
        <v>37</v>
      </c>
      <c r="H29" s="185" t="s">
        <v>417</v>
      </c>
      <c r="I29" s="129">
        <v>5.41</v>
      </c>
      <c r="J29" s="44">
        <v>17697</v>
      </c>
      <c r="K29" s="24">
        <v>1.75</v>
      </c>
      <c r="L29" s="44">
        <f t="shared" si="1"/>
        <v>167546.3475</v>
      </c>
      <c r="M29" s="25">
        <f t="shared" si="2"/>
        <v>18</v>
      </c>
      <c r="N29" s="56">
        <v>6</v>
      </c>
      <c r="O29" s="44">
        <f t="shared" si="3"/>
        <v>62829.880312499998</v>
      </c>
      <c r="P29" s="69">
        <v>12</v>
      </c>
      <c r="Q29" s="44">
        <f t="shared" ref="Q29:Q70" si="14">L29/16*P29</f>
        <v>125659.760625</v>
      </c>
      <c r="R29" s="25"/>
      <c r="S29" s="44">
        <f t="shared" si="4"/>
        <v>188489.64093749999</v>
      </c>
      <c r="T29" s="44">
        <f t="shared" si="5"/>
        <v>18848.964093750001</v>
      </c>
      <c r="U29" s="44"/>
      <c r="V29" s="72"/>
      <c r="W29" s="44">
        <f t="shared" si="11"/>
        <v>0</v>
      </c>
      <c r="X29" s="72">
        <v>12</v>
      </c>
      <c r="Y29" s="33">
        <v>0.5</v>
      </c>
      <c r="Z29" s="44">
        <f t="shared" si="12"/>
        <v>6636.375</v>
      </c>
      <c r="AA29" s="48"/>
      <c r="AB29" s="44"/>
      <c r="AC29" s="44">
        <f t="shared" si="6"/>
        <v>56546.892281249995</v>
      </c>
      <c r="AD29" s="26"/>
      <c r="AE29" s="44"/>
      <c r="AF29" s="44"/>
      <c r="AG29" s="181"/>
      <c r="AH29" s="44"/>
      <c r="AI29" s="44">
        <f>S29*0.4</f>
        <v>75395.856375000003</v>
      </c>
      <c r="AJ29" s="44"/>
      <c r="AK29" s="44"/>
      <c r="AL29" s="44">
        <f t="shared" si="7"/>
        <v>345917.7286875</v>
      </c>
      <c r="AM29" s="44">
        <f t="shared" si="8"/>
        <v>4151.0127442499997</v>
      </c>
      <c r="AN29" s="204">
        <f t="shared" si="9"/>
        <v>6</v>
      </c>
    </row>
    <row r="30" spans="1:40" s="2" customFormat="1" ht="38.25" x14ac:dyDescent="0.2">
      <c r="A30" s="56">
        <v>10</v>
      </c>
      <c r="B30" s="58" t="s">
        <v>83</v>
      </c>
      <c r="C30" s="61" t="s">
        <v>145</v>
      </c>
      <c r="D30" s="23" t="s">
        <v>37</v>
      </c>
      <c r="E30" s="26">
        <f t="shared" si="10"/>
        <v>1.125</v>
      </c>
      <c r="F30" s="56" t="s">
        <v>174</v>
      </c>
      <c r="G30" s="23" t="s">
        <v>37</v>
      </c>
      <c r="H30" s="185" t="s">
        <v>418</v>
      </c>
      <c r="I30" s="129">
        <v>5.41</v>
      </c>
      <c r="J30" s="44">
        <v>17697</v>
      </c>
      <c r="K30" s="24">
        <v>1.75</v>
      </c>
      <c r="L30" s="44">
        <f t="shared" si="1"/>
        <v>167546.3475</v>
      </c>
      <c r="M30" s="25">
        <f t="shared" si="2"/>
        <v>18</v>
      </c>
      <c r="N30" s="56">
        <v>18</v>
      </c>
      <c r="O30" s="44">
        <f t="shared" si="3"/>
        <v>188489.64093749999</v>
      </c>
      <c r="P30" s="69"/>
      <c r="Q30" s="44"/>
      <c r="R30" s="25"/>
      <c r="S30" s="44">
        <f t="shared" si="4"/>
        <v>188489.64093749999</v>
      </c>
      <c r="T30" s="44">
        <f t="shared" si="5"/>
        <v>18848.964093750001</v>
      </c>
      <c r="U30" s="44"/>
      <c r="V30" s="72"/>
      <c r="W30" s="44">
        <f t="shared" si="11"/>
        <v>0</v>
      </c>
      <c r="X30" s="72">
        <v>17</v>
      </c>
      <c r="Y30" s="33">
        <v>0.5</v>
      </c>
      <c r="Z30" s="44">
        <f t="shared" si="12"/>
        <v>9401.53125</v>
      </c>
      <c r="AA30" s="48"/>
      <c r="AB30" s="44"/>
      <c r="AC30" s="44">
        <f t="shared" si="6"/>
        <v>56546.892281249995</v>
      </c>
      <c r="AD30" s="26"/>
      <c r="AE30" s="44"/>
      <c r="AF30" s="44"/>
      <c r="AG30" s="181"/>
      <c r="AH30" s="44"/>
      <c r="AI30" s="44">
        <f>S30*0.4</f>
        <v>75395.856375000003</v>
      </c>
      <c r="AJ30" s="44"/>
      <c r="AK30" s="44"/>
      <c r="AL30" s="44">
        <f t="shared" si="7"/>
        <v>348682.8849375</v>
      </c>
      <c r="AM30" s="44">
        <f t="shared" si="8"/>
        <v>4184.19461925</v>
      </c>
      <c r="AN30" s="204">
        <f t="shared" si="9"/>
        <v>1</v>
      </c>
    </row>
    <row r="31" spans="1:40" s="2" customFormat="1" ht="38.25" x14ac:dyDescent="0.2">
      <c r="A31" s="56">
        <v>11</v>
      </c>
      <c r="B31" s="58" t="s">
        <v>84</v>
      </c>
      <c r="C31" s="61" t="s">
        <v>147</v>
      </c>
      <c r="D31" s="23" t="s">
        <v>37</v>
      </c>
      <c r="E31" s="26">
        <f t="shared" si="10"/>
        <v>1.25</v>
      </c>
      <c r="F31" s="56" t="s">
        <v>174</v>
      </c>
      <c r="G31" s="23" t="s">
        <v>37</v>
      </c>
      <c r="H31" s="185" t="s">
        <v>415</v>
      </c>
      <c r="I31" s="129">
        <v>5.41</v>
      </c>
      <c r="J31" s="44">
        <v>17697</v>
      </c>
      <c r="K31" s="24">
        <v>1.75</v>
      </c>
      <c r="L31" s="44">
        <f t="shared" si="1"/>
        <v>167546.3475</v>
      </c>
      <c r="M31" s="25">
        <f t="shared" si="2"/>
        <v>20</v>
      </c>
      <c r="N31" s="56">
        <v>11</v>
      </c>
      <c r="O31" s="44">
        <f t="shared" si="3"/>
        <v>115188.11390625</v>
      </c>
      <c r="P31" s="69">
        <v>9</v>
      </c>
      <c r="Q31" s="44">
        <f t="shared" si="14"/>
        <v>94244.820468749997</v>
      </c>
      <c r="R31" s="25"/>
      <c r="S31" s="44">
        <f t="shared" si="4"/>
        <v>209432.93437500001</v>
      </c>
      <c r="T31" s="44">
        <f t="shared" si="5"/>
        <v>20943.293437500004</v>
      </c>
      <c r="U31" s="44"/>
      <c r="V31" s="72"/>
      <c r="W31" s="44">
        <f t="shared" si="11"/>
        <v>0</v>
      </c>
      <c r="X31" s="72">
        <v>18</v>
      </c>
      <c r="Y31" s="33">
        <v>0.5</v>
      </c>
      <c r="Z31" s="44">
        <f t="shared" si="12"/>
        <v>9954.5625</v>
      </c>
      <c r="AA31" s="48"/>
      <c r="AB31" s="44"/>
      <c r="AC31" s="44">
        <f t="shared" si="6"/>
        <v>62829.880312499998</v>
      </c>
      <c r="AD31" s="26">
        <v>10</v>
      </c>
      <c r="AE31" s="44">
        <f t="shared" si="13"/>
        <v>4424.25</v>
      </c>
      <c r="AF31" s="44"/>
      <c r="AG31" s="181"/>
      <c r="AH31" s="44"/>
      <c r="AI31" s="44">
        <f>S31*0.4</f>
        <v>83773.173750000016</v>
      </c>
      <c r="AJ31" s="44"/>
      <c r="AK31" s="44"/>
      <c r="AL31" s="44">
        <f t="shared" si="7"/>
        <v>391358.09437500004</v>
      </c>
      <c r="AM31" s="44">
        <f t="shared" si="8"/>
        <v>4696.2971324999999</v>
      </c>
      <c r="AN31" s="204">
        <f t="shared" si="9"/>
        <v>2</v>
      </c>
    </row>
    <row r="32" spans="1:40" s="2" customFormat="1" ht="38.25" x14ac:dyDescent="0.2">
      <c r="A32" s="56">
        <v>12</v>
      </c>
      <c r="B32" s="60" t="s">
        <v>85</v>
      </c>
      <c r="C32" s="61" t="s">
        <v>148</v>
      </c>
      <c r="D32" s="23" t="s">
        <v>37</v>
      </c>
      <c r="E32" s="26">
        <f t="shared" si="10"/>
        <v>0.5</v>
      </c>
      <c r="F32" s="56" t="s">
        <v>175</v>
      </c>
      <c r="G32" s="23"/>
      <c r="H32" s="185" t="s">
        <v>377</v>
      </c>
      <c r="I32" s="129">
        <v>4.38</v>
      </c>
      <c r="J32" s="44">
        <v>17697</v>
      </c>
      <c r="K32" s="24">
        <v>1.75</v>
      </c>
      <c r="L32" s="44">
        <f t="shared" si="1"/>
        <v>135647.505</v>
      </c>
      <c r="M32" s="25">
        <f t="shared" si="2"/>
        <v>8</v>
      </c>
      <c r="N32" s="56">
        <v>8</v>
      </c>
      <c r="O32" s="44">
        <f t="shared" si="3"/>
        <v>67823.752500000002</v>
      </c>
      <c r="P32" s="69"/>
      <c r="Q32" s="44"/>
      <c r="R32" s="25"/>
      <c r="S32" s="44">
        <f t="shared" si="4"/>
        <v>67823.752500000002</v>
      </c>
      <c r="T32" s="44">
        <f t="shared" si="5"/>
        <v>6782.375250000001</v>
      </c>
      <c r="U32" s="44"/>
      <c r="V32" s="72"/>
      <c r="W32" s="44">
        <f t="shared" si="11"/>
        <v>0</v>
      </c>
      <c r="X32" s="72">
        <v>8</v>
      </c>
      <c r="Y32" s="33">
        <v>0.5</v>
      </c>
      <c r="Z32" s="44">
        <f t="shared" si="12"/>
        <v>4424.25</v>
      </c>
      <c r="AA32" s="48"/>
      <c r="AB32" s="44"/>
      <c r="AC32" s="44">
        <f t="shared" si="6"/>
        <v>20347.125749999999</v>
      </c>
      <c r="AD32" s="26">
        <v>8</v>
      </c>
      <c r="AE32" s="44">
        <f t="shared" si="13"/>
        <v>3539.4</v>
      </c>
      <c r="AF32" s="44"/>
      <c r="AG32" s="181"/>
      <c r="AH32" s="44"/>
      <c r="AI32" s="44"/>
      <c r="AJ32" s="44"/>
      <c r="AK32" s="44"/>
      <c r="AL32" s="44">
        <f t="shared" si="7"/>
        <v>102916.9035</v>
      </c>
      <c r="AM32" s="44">
        <f t="shared" si="8"/>
        <v>1235.0028419999999</v>
      </c>
      <c r="AN32" s="204">
        <f t="shared" si="9"/>
        <v>0</v>
      </c>
    </row>
    <row r="33" spans="1:40" s="2" customFormat="1" ht="38.25" x14ac:dyDescent="0.2">
      <c r="A33" s="56">
        <v>13</v>
      </c>
      <c r="B33" s="58" t="s">
        <v>86</v>
      </c>
      <c r="C33" s="61" t="s">
        <v>149</v>
      </c>
      <c r="D33" s="23" t="s">
        <v>37</v>
      </c>
      <c r="E33" s="26">
        <f t="shared" si="10"/>
        <v>1</v>
      </c>
      <c r="F33" s="56" t="s">
        <v>174</v>
      </c>
      <c r="G33" s="23" t="s">
        <v>37</v>
      </c>
      <c r="H33" s="185" t="s">
        <v>419</v>
      </c>
      <c r="I33" s="129">
        <v>5.41</v>
      </c>
      <c r="J33" s="44">
        <v>17697</v>
      </c>
      <c r="K33" s="24">
        <v>1.75</v>
      </c>
      <c r="L33" s="44">
        <f t="shared" si="1"/>
        <v>167546.3475</v>
      </c>
      <c r="M33" s="25">
        <f t="shared" si="2"/>
        <v>16</v>
      </c>
      <c r="N33" s="56">
        <v>13</v>
      </c>
      <c r="O33" s="44">
        <f t="shared" si="3"/>
        <v>136131.40734375</v>
      </c>
      <c r="P33" s="69">
        <v>3</v>
      </c>
      <c r="Q33" s="44">
        <f t="shared" si="14"/>
        <v>31414.940156249999</v>
      </c>
      <c r="R33" s="25"/>
      <c r="S33" s="44">
        <f t="shared" si="4"/>
        <v>167546.3475</v>
      </c>
      <c r="T33" s="44">
        <f t="shared" si="5"/>
        <v>16754.634750000001</v>
      </c>
      <c r="U33" s="44"/>
      <c r="V33" s="72"/>
      <c r="W33" s="44">
        <f t="shared" si="11"/>
        <v>0</v>
      </c>
      <c r="X33" s="72"/>
      <c r="Y33" s="33"/>
      <c r="Z33" s="44">
        <f t="shared" si="12"/>
        <v>0</v>
      </c>
      <c r="AA33" s="48"/>
      <c r="AB33" s="44"/>
      <c r="AC33" s="44">
        <f t="shared" si="6"/>
        <v>50263.90425</v>
      </c>
      <c r="AD33" s="26"/>
      <c r="AE33" s="44"/>
      <c r="AF33" s="44"/>
      <c r="AG33" s="181"/>
      <c r="AH33" s="44"/>
      <c r="AI33" s="44"/>
      <c r="AJ33" s="44"/>
      <c r="AK33" s="44"/>
      <c r="AL33" s="44">
        <f t="shared" si="7"/>
        <v>234564.88650000002</v>
      </c>
      <c r="AM33" s="44">
        <f t="shared" si="8"/>
        <v>2814.7786380000002</v>
      </c>
      <c r="AN33" s="204">
        <f t="shared" si="9"/>
        <v>16</v>
      </c>
    </row>
    <row r="34" spans="1:40" s="2" customFormat="1" ht="38.25" x14ac:dyDescent="0.2">
      <c r="A34" s="56">
        <v>14</v>
      </c>
      <c r="B34" s="58" t="s">
        <v>87</v>
      </c>
      <c r="C34" s="61" t="s">
        <v>145</v>
      </c>
      <c r="D34" s="23" t="s">
        <v>37</v>
      </c>
      <c r="E34" s="26">
        <f t="shared" si="10"/>
        <v>1.125</v>
      </c>
      <c r="F34" s="56" t="s">
        <v>176</v>
      </c>
      <c r="G34" s="23" t="s">
        <v>37</v>
      </c>
      <c r="H34" s="185" t="s">
        <v>420</v>
      </c>
      <c r="I34" s="129">
        <v>5.41</v>
      </c>
      <c r="J34" s="44">
        <v>17697</v>
      </c>
      <c r="K34" s="24">
        <v>1.75</v>
      </c>
      <c r="L34" s="44">
        <f t="shared" si="1"/>
        <v>167546.3475</v>
      </c>
      <c r="M34" s="25">
        <f t="shared" si="2"/>
        <v>18</v>
      </c>
      <c r="N34" s="56">
        <v>6</v>
      </c>
      <c r="O34" s="44">
        <f t="shared" si="3"/>
        <v>62829.880312499998</v>
      </c>
      <c r="P34" s="69">
        <v>12</v>
      </c>
      <c r="Q34" s="44">
        <f t="shared" si="14"/>
        <v>125659.760625</v>
      </c>
      <c r="R34" s="25"/>
      <c r="S34" s="44">
        <f t="shared" si="4"/>
        <v>188489.64093749999</v>
      </c>
      <c r="T34" s="44">
        <f t="shared" si="5"/>
        <v>18848.964093750001</v>
      </c>
      <c r="U34" s="44"/>
      <c r="V34" s="72"/>
      <c r="W34" s="44">
        <f t="shared" si="11"/>
        <v>0</v>
      </c>
      <c r="X34" s="72">
        <v>18</v>
      </c>
      <c r="Y34" s="33">
        <v>0.5</v>
      </c>
      <c r="Z34" s="44">
        <f t="shared" si="12"/>
        <v>9954.5625</v>
      </c>
      <c r="AA34" s="48"/>
      <c r="AB34" s="44"/>
      <c r="AC34" s="44">
        <f t="shared" si="6"/>
        <v>56546.892281249995</v>
      </c>
      <c r="AD34" s="26"/>
      <c r="AE34" s="44"/>
      <c r="AF34" s="44"/>
      <c r="AG34" s="181"/>
      <c r="AH34" s="44"/>
      <c r="AI34" s="44">
        <f>S34*0.4</f>
        <v>75395.856375000003</v>
      </c>
      <c r="AJ34" s="44"/>
      <c r="AK34" s="44"/>
      <c r="AL34" s="44">
        <f t="shared" si="7"/>
        <v>349235.9161875</v>
      </c>
      <c r="AM34" s="44">
        <f t="shared" si="8"/>
        <v>4190.83099425</v>
      </c>
      <c r="AN34" s="204">
        <f t="shared" si="9"/>
        <v>0</v>
      </c>
    </row>
    <row r="35" spans="1:40" s="2" customFormat="1" ht="38.25" x14ac:dyDescent="0.2">
      <c r="A35" s="56">
        <v>15</v>
      </c>
      <c r="B35" s="59" t="s">
        <v>88</v>
      </c>
      <c r="C35" s="61" t="s">
        <v>150</v>
      </c>
      <c r="D35" s="23" t="s">
        <v>37</v>
      </c>
      <c r="E35" s="26">
        <f t="shared" si="10"/>
        <v>1.3125</v>
      </c>
      <c r="F35" s="56" t="s">
        <v>174</v>
      </c>
      <c r="G35" s="23" t="s">
        <v>37</v>
      </c>
      <c r="H35" s="185" t="s">
        <v>421</v>
      </c>
      <c r="I35" s="129">
        <v>5.41</v>
      </c>
      <c r="J35" s="44">
        <v>17697</v>
      </c>
      <c r="K35" s="24">
        <v>1.75</v>
      </c>
      <c r="L35" s="44">
        <f t="shared" si="1"/>
        <v>167546.3475</v>
      </c>
      <c r="M35" s="25">
        <f t="shared" si="2"/>
        <v>21</v>
      </c>
      <c r="N35" s="56">
        <v>9</v>
      </c>
      <c r="O35" s="44">
        <f t="shared" si="3"/>
        <v>94244.820468749997</v>
      </c>
      <c r="P35" s="69">
        <v>12</v>
      </c>
      <c r="Q35" s="44">
        <f t="shared" si="14"/>
        <v>125659.760625</v>
      </c>
      <c r="R35" s="25"/>
      <c r="S35" s="44">
        <f t="shared" si="4"/>
        <v>219904.58109374999</v>
      </c>
      <c r="T35" s="44">
        <f t="shared" si="5"/>
        <v>21990.458109375002</v>
      </c>
      <c r="U35" s="44"/>
      <c r="V35" s="72"/>
      <c r="W35" s="44">
        <f t="shared" si="11"/>
        <v>0</v>
      </c>
      <c r="X35" s="72"/>
      <c r="Y35" s="33"/>
      <c r="Z35" s="44"/>
      <c r="AA35" s="48"/>
      <c r="AB35" s="44"/>
      <c r="AC35" s="44">
        <f t="shared" si="6"/>
        <v>65971.374328124992</v>
      </c>
      <c r="AD35" s="26"/>
      <c r="AE35" s="44"/>
      <c r="AF35" s="44"/>
      <c r="AG35" s="181"/>
      <c r="AH35" s="44"/>
      <c r="AI35" s="44">
        <f>S35*0.4</f>
        <v>87961.832437500008</v>
      </c>
      <c r="AJ35" s="44"/>
      <c r="AK35" s="44"/>
      <c r="AL35" s="44">
        <f t="shared" si="7"/>
        <v>395828.24596874998</v>
      </c>
      <c r="AM35" s="44">
        <f t="shared" si="8"/>
        <v>4749.9389516249994</v>
      </c>
      <c r="AN35" s="204">
        <f t="shared" si="9"/>
        <v>21</v>
      </c>
    </row>
    <row r="36" spans="1:40" s="2" customFormat="1" ht="38.25" x14ac:dyDescent="0.2">
      <c r="A36" s="56">
        <v>16</v>
      </c>
      <c r="B36" s="60" t="s">
        <v>89</v>
      </c>
      <c r="C36" s="61" t="s">
        <v>148</v>
      </c>
      <c r="D36" s="23" t="s">
        <v>37</v>
      </c>
      <c r="E36" s="26">
        <f t="shared" si="10"/>
        <v>1.125</v>
      </c>
      <c r="F36" s="56" t="s">
        <v>178</v>
      </c>
      <c r="G36" s="23" t="s">
        <v>69</v>
      </c>
      <c r="H36" s="185" t="s">
        <v>422</v>
      </c>
      <c r="I36" s="130">
        <v>4.6500000000000004</v>
      </c>
      <c r="J36" s="44">
        <v>17697</v>
      </c>
      <c r="K36" s="24">
        <v>1.75</v>
      </c>
      <c r="L36" s="44">
        <f t="shared" si="1"/>
        <v>144009.33750000002</v>
      </c>
      <c r="M36" s="25">
        <f t="shared" si="2"/>
        <v>18</v>
      </c>
      <c r="N36" s="56">
        <v>18</v>
      </c>
      <c r="O36" s="44">
        <f t="shared" si="3"/>
        <v>162010.50468750001</v>
      </c>
      <c r="P36" s="69"/>
      <c r="Q36" s="44"/>
      <c r="R36" s="25"/>
      <c r="S36" s="44">
        <f t="shared" si="4"/>
        <v>162010.50468750001</v>
      </c>
      <c r="T36" s="44">
        <f t="shared" si="5"/>
        <v>16201.050468750002</v>
      </c>
      <c r="U36" s="44"/>
      <c r="V36" s="72"/>
      <c r="W36" s="44">
        <f t="shared" si="11"/>
        <v>0</v>
      </c>
      <c r="X36" s="72">
        <v>13</v>
      </c>
      <c r="Y36" s="33">
        <v>0.5</v>
      </c>
      <c r="Z36" s="44">
        <f t="shared" si="12"/>
        <v>7189.40625</v>
      </c>
      <c r="AA36" s="48"/>
      <c r="AB36" s="44"/>
      <c r="AC36" s="44">
        <f t="shared" si="6"/>
        <v>48603.151406249999</v>
      </c>
      <c r="AD36" s="26">
        <v>18</v>
      </c>
      <c r="AE36" s="44">
        <f t="shared" si="13"/>
        <v>7963.6500000000005</v>
      </c>
      <c r="AF36" s="44"/>
      <c r="AG36" s="181"/>
      <c r="AH36" s="181">
        <f>S36*35%</f>
        <v>56703.676640625003</v>
      </c>
      <c r="AI36" s="44"/>
      <c r="AJ36" s="44"/>
      <c r="AK36" s="44"/>
      <c r="AL36" s="44">
        <f t="shared" si="7"/>
        <v>298671.439453125</v>
      </c>
      <c r="AM36" s="44">
        <f t="shared" si="8"/>
        <v>3584.0572734375</v>
      </c>
      <c r="AN36" s="204">
        <f t="shared" si="9"/>
        <v>5</v>
      </c>
    </row>
    <row r="37" spans="1:40" s="2" customFormat="1" ht="38.25" x14ac:dyDescent="0.2">
      <c r="A37" s="56">
        <v>17</v>
      </c>
      <c r="B37" s="59" t="s">
        <v>90</v>
      </c>
      <c r="C37" s="61" t="s">
        <v>145</v>
      </c>
      <c r="D37" s="23" t="s">
        <v>37</v>
      </c>
      <c r="E37" s="26">
        <f t="shared" si="10"/>
        <v>1.125</v>
      </c>
      <c r="F37" s="56" t="s">
        <v>174</v>
      </c>
      <c r="G37" s="23" t="s">
        <v>37</v>
      </c>
      <c r="H37" s="185" t="s">
        <v>423</v>
      </c>
      <c r="I37" s="129">
        <v>5.41</v>
      </c>
      <c r="J37" s="44">
        <v>17697</v>
      </c>
      <c r="K37" s="24">
        <v>1.75</v>
      </c>
      <c r="L37" s="44">
        <f t="shared" si="1"/>
        <v>167546.3475</v>
      </c>
      <c r="M37" s="25">
        <f t="shared" si="2"/>
        <v>18</v>
      </c>
      <c r="N37" s="56">
        <v>18</v>
      </c>
      <c r="O37" s="44">
        <f t="shared" si="3"/>
        <v>188489.64093749999</v>
      </c>
      <c r="P37" s="69"/>
      <c r="Q37" s="44"/>
      <c r="R37" s="25"/>
      <c r="S37" s="44">
        <f t="shared" si="4"/>
        <v>188489.64093749999</v>
      </c>
      <c r="T37" s="44">
        <f t="shared" si="5"/>
        <v>18848.964093750001</v>
      </c>
      <c r="U37" s="44"/>
      <c r="V37" s="72"/>
      <c r="W37" s="73">
        <f t="shared" si="11"/>
        <v>0</v>
      </c>
      <c r="X37" s="72">
        <v>12</v>
      </c>
      <c r="Y37" s="33">
        <v>0.5</v>
      </c>
      <c r="Z37" s="44">
        <f t="shared" si="12"/>
        <v>6636.375</v>
      </c>
      <c r="AA37" s="48"/>
      <c r="AB37" s="44"/>
      <c r="AC37" s="44">
        <f t="shared" si="6"/>
        <v>56546.892281249995</v>
      </c>
      <c r="AD37" s="26"/>
      <c r="AE37" s="44">
        <f t="shared" si="13"/>
        <v>0</v>
      </c>
      <c r="AF37" s="44"/>
      <c r="AG37" s="181"/>
      <c r="AH37" s="44"/>
      <c r="AI37" s="44">
        <f>S37*0.4</f>
        <v>75395.856375000003</v>
      </c>
      <c r="AJ37" s="44"/>
      <c r="AK37" s="44"/>
      <c r="AL37" s="44">
        <f t="shared" si="7"/>
        <v>345917.7286875</v>
      </c>
      <c r="AM37" s="44">
        <f t="shared" si="8"/>
        <v>4151.0127442499997</v>
      </c>
      <c r="AN37" s="204">
        <f t="shared" si="9"/>
        <v>6</v>
      </c>
    </row>
    <row r="38" spans="1:40" s="2" customFormat="1" ht="63.75" x14ac:dyDescent="0.2">
      <c r="A38" s="56">
        <v>18</v>
      </c>
      <c r="B38" s="61" t="s">
        <v>91</v>
      </c>
      <c r="C38" s="61" t="s">
        <v>151</v>
      </c>
      <c r="D38" s="23" t="s">
        <v>37</v>
      </c>
      <c r="E38" s="26">
        <f t="shared" si="10"/>
        <v>1.25</v>
      </c>
      <c r="F38" s="56" t="s">
        <v>175</v>
      </c>
      <c r="G38" s="23"/>
      <c r="H38" s="185" t="s">
        <v>424</v>
      </c>
      <c r="I38" s="129">
        <v>4.0999999999999996</v>
      </c>
      <c r="J38" s="44">
        <v>17697</v>
      </c>
      <c r="K38" s="24">
        <v>1.75</v>
      </c>
      <c r="L38" s="44">
        <f t="shared" si="1"/>
        <v>126975.97499999999</v>
      </c>
      <c r="M38" s="25">
        <f t="shared" si="2"/>
        <v>20</v>
      </c>
      <c r="N38" s="56">
        <v>20</v>
      </c>
      <c r="O38" s="44">
        <f t="shared" si="3"/>
        <v>158719.96875</v>
      </c>
      <c r="P38" s="69"/>
      <c r="Q38" s="44"/>
      <c r="R38" s="25"/>
      <c r="S38" s="44">
        <f t="shared" si="4"/>
        <v>158719.96875</v>
      </c>
      <c r="T38" s="44">
        <f t="shared" si="5"/>
        <v>15871.996875000001</v>
      </c>
      <c r="U38" s="44"/>
      <c r="V38" s="72"/>
      <c r="W38" s="44">
        <f t="shared" si="11"/>
        <v>0</v>
      </c>
      <c r="X38" s="72"/>
      <c r="Y38" s="33"/>
      <c r="Z38" s="44"/>
      <c r="AA38" s="48"/>
      <c r="AB38" s="44">
        <f>SUM(J38*2)</f>
        <v>35394</v>
      </c>
      <c r="AC38" s="44">
        <f t="shared" si="6"/>
        <v>47615.990624999999</v>
      </c>
      <c r="AD38" s="26">
        <v>20</v>
      </c>
      <c r="AE38" s="44">
        <f t="shared" si="13"/>
        <v>8848.5</v>
      </c>
      <c r="AF38" s="44"/>
      <c r="AG38" s="181"/>
      <c r="AH38" s="44"/>
      <c r="AI38" s="44"/>
      <c r="AJ38" s="44"/>
      <c r="AK38" s="44"/>
      <c r="AL38" s="44">
        <f t="shared" si="7"/>
        <v>266450.45624999999</v>
      </c>
      <c r="AM38" s="44">
        <f t="shared" si="8"/>
        <v>3197.4054749999996</v>
      </c>
      <c r="AN38" s="204">
        <f t="shared" si="9"/>
        <v>20</v>
      </c>
    </row>
    <row r="39" spans="1:40" s="2" customFormat="1" ht="38.25" x14ac:dyDescent="0.2">
      <c r="A39" s="56">
        <v>19</v>
      </c>
      <c r="B39" s="59" t="s">
        <v>92</v>
      </c>
      <c r="C39" s="61" t="s">
        <v>152</v>
      </c>
      <c r="D39" s="23" t="s">
        <v>37</v>
      </c>
      <c r="E39" s="26">
        <f t="shared" si="10"/>
        <v>0.375</v>
      </c>
      <c r="F39" s="56" t="s">
        <v>176</v>
      </c>
      <c r="G39" s="23" t="s">
        <v>37</v>
      </c>
      <c r="H39" s="186" t="s">
        <v>425</v>
      </c>
      <c r="I39" s="129">
        <v>5.16</v>
      </c>
      <c r="J39" s="44">
        <v>17697</v>
      </c>
      <c r="K39" s="24">
        <v>1.75</v>
      </c>
      <c r="L39" s="44">
        <f t="shared" si="1"/>
        <v>159803.91</v>
      </c>
      <c r="M39" s="25">
        <f t="shared" si="2"/>
        <v>6</v>
      </c>
      <c r="N39" s="56">
        <v>3</v>
      </c>
      <c r="O39" s="44">
        <f t="shared" si="3"/>
        <v>29963.233124999999</v>
      </c>
      <c r="P39" s="69">
        <v>3</v>
      </c>
      <c r="Q39" s="44">
        <f t="shared" si="14"/>
        <v>29963.233124999999</v>
      </c>
      <c r="R39" s="25"/>
      <c r="S39" s="44">
        <f t="shared" si="4"/>
        <v>59926.466249999998</v>
      </c>
      <c r="T39" s="44">
        <f t="shared" si="5"/>
        <v>5992.6466250000003</v>
      </c>
      <c r="U39" s="44"/>
      <c r="V39" s="72"/>
      <c r="W39" s="44">
        <f t="shared" si="11"/>
        <v>0</v>
      </c>
      <c r="X39" s="72"/>
      <c r="Y39" s="33"/>
      <c r="Z39" s="44"/>
      <c r="AA39" s="48"/>
      <c r="AB39" s="44"/>
      <c r="AC39" s="44">
        <f t="shared" si="6"/>
        <v>17977.939875</v>
      </c>
      <c r="AD39" s="26"/>
      <c r="AE39" s="44"/>
      <c r="AF39" s="44"/>
      <c r="AG39" s="181"/>
      <c r="AH39" s="44"/>
      <c r="AI39" s="44">
        <f t="shared" ref="AI39:AI44" si="15">S39*0.4</f>
        <v>23970.586500000001</v>
      </c>
      <c r="AJ39" s="44"/>
      <c r="AK39" s="44"/>
      <c r="AL39" s="44">
        <f t="shared" si="7"/>
        <v>107867.63925000001</v>
      </c>
      <c r="AM39" s="44">
        <f t="shared" si="8"/>
        <v>1294.4116710000001</v>
      </c>
      <c r="AN39" s="204">
        <f t="shared" si="9"/>
        <v>6</v>
      </c>
    </row>
    <row r="40" spans="1:40" s="2" customFormat="1" ht="38.25" x14ac:dyDescent="0.2">
      <c r="A40" s="56">
        <v>20</v>
      </c>
      <c r="B40" s="58" t="s">
        <v>93</v>
      </c>
      <c r="C40" s="61" t="s">
        <v>146</v>
      </c>
      <c r="D40" s="23" t="s">
        <v>37</v>
      </c>
      <c r="E40" s="26">
        <f t="shared" si="10"/>
        <v>0.5625</v>
      </c>
      <c r="F40" s="56" t="s">
        <v>176</v>
      </c>
      <c r="G40" s="23" t="s">
        <v>37</v>
      </c>
      <c r="H40" s="185" t="s">
        <v>364</v>
      </c>
      <c r="I40" s="129">
        <v>5.24</v>
      </c>
      <c r="J40" s="44">
        <v>17697</v>
      </c>
      <c r="K40" s="24">
        <v>1.75</v>
      </c>
      <c r="L40" s="44">
        <f t="shared" si="1"/>
        <v>162281.49000000002</v>
      </c>
      <c r="M40" s="25">
        <f t="shared" si="2"/>
        <v>9</v>
      </c>
      <c r="N40" s="56">
        <v>9</v>
      </c>
      <c r="O40" s="44">
        <f t="shared" si="3"/>
        <v>91283.338125000009</v>
      </c>
      <c r="P40" s="69"/>
      <c r="Q40" s="44"/>
      <c r="R40" s="25"/>
      <c r="S40" s="44">
        <f t="shared" si="4"/>
        <v>91283.338125000009</v>
      </c>
      <c r="T40" s="44">
        <f t="shared" si="5"/>
        <v>9128.3338125000009</v>
      </c>
      <c r="U40" s="44"/>
      <c r="V40" s="72"/>
      <c r="W40" s="44">
        <f t="shared" si="11"/>
        <v>0</v>
      </c>
      <c r="X40" s="72">
        <v>9</v>
      </c>
      <c r="Y40" s="33">
        <v>0.5</v>
      </c>
      <c r="Z40" s="44">
        <f t="shared" si="12"/>
        <v>4977.28125</v>
      </c>
      <c r="AA40" s="48"/>
      <c r="AB40" s="44"/>
      <c r="AC40" s="44">
        <f t="shared" si="6"/>
        <v>27385.001437500003</v>
      </c>
      <c r="AD40" s="26"/>
      <c r="AE40" s="44"/>
      <c r="AF40" s="44"/>
      <c r="AG40" s="181"/>
      <c r="AH40" s="44"/>
      <c r="AI40" s="44">
        <f t="shared" si="15"/>
        <v>36513.335250000004</v>
      </c>
      <c r="AJ40" s="44"/>
      <c r="AK40" s="44"/>
      <c r="AL40" s="44">
        <f t="shared" si="7"/>
        <v>169287.28987500002</v>
      </c>
      <c r="AM40" s="44">
        <f t="shared" si="8"/>
        <v>2031.4474785000002</v>
      </c>
      <c r="AN40" s="204">
        <f t="shared" si="9"/>
        <v>0</v>
      </c>
    </row>
    <row r="41" spans="1:40" s="2" customFormat="1" ht="30" x14ac:dyDescent="0.2">
      <c r="A41" s="56">
        <v>21</v>
      </c>
      <c r="B41" s="58" t="s">
        <v>94</v>
      </c>
      <c r="C41" s="61" t="s">
        <v>153</v>
      </c>
      <c r="D41" s="23" t="s">
        <v>37</v>
      </c>
      <c r="E41" s="26">
        <f t="shared" si="10"/>
        <v>1.3125</v>
      </c>
      <c r="F41" s="56" t="s">
        <v>176</v>
      </c>
      <c r="G41" s="23" t="s">
        <v>37</v>
      </c>
      <c r="H41" s="185" t="s">
        <v>426</v>
      </c>
      <c r="I41" s="129">
        <v>5.32</v>
      </c>
      <c r="J41" s="44">
        <v>17697</v>
      </c>
      <c r="K41" s="24">
        <v>1.75</v>
      </c>
      <c r="L41" s="44">
        <f t="shared" si="1"/>
        <v>164759.07</v>
      </c>
      <c r="M41" s="25">
        <f t="shared" si="2"/>
        <v>21</v>
      </c>
      <c r="N41" s="56">
        <v>3</v>
      </c>
      <c r="O41" s="44">
        <f t="shared" si="3"/>
        <v>30892.325625000001</v>
      </c>
      <c r="P41" s="69">
        <v>18</v>
      </c>
      <c r="Q41" s="44">
        <f t="shared" si="14"/>
        <v>185353.95375000002</v>
      </c>
      <c r="R41" s="25"/>
      <c r="S41" s="44">
        <f t="shared" si="4"/>
        <v>216246.27937500001</v>
      </c>
      <c r="T41" s="44">
        <f t="shared" si="5"/>
        <v>21624.627937500001</v>
      </c>
      <c r="U41" s="44"/>
      <c r="V41" s="72"/>
      <c r="W41" s="44">
        <f t="shared" si="11"/>
        <v>0</v>
      </c>
      <c r="X41" s="72"/>
      <c r="Y41" s="33"/>
      <c r="Z41" s="44"/>
      <c r="AA41" s="48"/>
      <c r="AB41" s="44"/>
      <c r="AC41" s="44">
        <f t="shared" si="6"/>
        <v>64873.883812500004</v>
      </c>
      <c r="AD41" s="26"/>
      <c r="AE41" s="44"/>
      <c r="AF41" s="44">
        <f>SUM(J41*0.2)</f>
        <v>3539.4</v>
      </c>
      <c r="AG41" s="181"/>
      <c r="AH41" s="44"/>
      <c r="AI41" s="44">
        <f t="shared" si="15"/>
        <v>86498.511750000005</v>
      </c>
      <c r="AJ41" s="44"/>
      <c r="AK41" s="44"/>
      <c r="AL41" s="44">
        <f t="shared" si="7"/>
        <v>392782.70287500008</v>
      </c>
      <c r="AM41" s="44">
        <f t="shared" si="8"/>
        <v>4713.3924345000014</v>
      </c>
      <c r="AN41" s="204">
        <f t="shared" si="9"/>
        <v>21</v>
      </c>
    </row>
    <row r="42" spans="1:40" s="2" customFormat="1" ht="63.75" x14ac:dyDescent="0.2">
      <c r="A42" s="56">
        <v>22</v>
      </c>
      <c r="B42" s="58" t="s">
        <v>95</v>
      </c>
      <c r="C42" s="61" t="s">
        <v>154</v>
      </c>
      <c r="D42" s="23" t="s">
        <v>37</v>
      </c>
      <c r="E42" s="26">
        <f t="shared" si="10"/>
        <v>0.5625</v>
      </c>
      <c r="F42" s="56" t="s">
        <v>176</v>
      </c>
      <c r="G42" s="23" t="s">
        <v>37</v>
      </c>
      <c r="H42" s="185" t="s">
        <v>427</v>
      </c>
      <c r="I42" s="129">
        <v>5.32</v>
      </c>
      <c r="J42" s="44">
        <v>17697</v>
      </c>
      <c r="K42" s="24">
        <v>1.75</v>
      </c>
      <c r="L42" s="44">
        <f t="shared" si="1"/>
        <v>164759.07</v>
      </c>
      <c r="M42" s="25">
        <f t="shared" si="2"/>
        <v>9</v>
      </c>
      <c r="N42" s="56"/>
      <c r="O42" s="44"/>
      <c r="P42" s="69">
        <v>9</v>
      </c>
      <c r="Q42" s="44">
        <f t="shared" si="14"/>
        <v>92676.976875000008</v>
      </c>
      <c r="R42" s="25"/>
      <c r="S42" s="44">
        <f t="shared" si="4"/>
        <v>92676.976875000008</v>
      </c>
      <c r="T42" s="44">
        <f t="shared" si="5"/>
        <v>9267.6976875000018</v>
      </c>
      <c r="U42" s="44"/>
      <c r="V42" s="72"/>
      <c r="W42" s="44">
        <f t="shared" si="11"/>
        <v>0</v>
      </c>
      <c r="X42" s="72"/>
      <c r="Y42" s="33"/>
      <c r="Z42" s="44"/>
      <c r="AA42" s="48"/>
      <c r="AB42" s="44"/>
      <c r="AC42" s="44">
        <f t="shared" si="6"/>
        <v>27803.0930625</v>
      </c>
      <c r="AD42" s="26"/>
      <c r="AE42" s="44"/>
      <c r="AF42" s="44">
        <f>SUM(J42*0.2)</f>
        <v>3539.4</v>
      </c>
      <c r="AG42" s="181"/>
      <c r="AH42" s="44"/>
      <c r="AI42" s="44">
        <f t="shared" si="15"/>
        <v>37070.790750000007</v>
      </c>
      <c r="AJ42" s="44"/>
      <c r="AK42" s="44"/>
      <c r="AL42" s="44">
        <f t="shared" si="7"/>
        <v>170357.95837500002</v>
      </c>
      <c r="AM42" s="44">
        <f t="shared" si="8"/>
        <v>2044.2955005000001</v>
      </c>
      <c r="AN42" s="204">
        <f t="shared" si="9"/>
        <v>9</v>
      </c>
    </row>
    <row r="43" spans="1:40" s="2" customFormat="1" ht="38.25" x14ac:dyDescent="0.2">
      <c r="A43" s="56">
        <v>23</v>
      </c>
      <c r="B43" s="58" t="s">
        <v>96</v>
      </c>
      <c r="C43" s="61" t="s">
        <v>155</v>
      </c>
      <c r="D43" s="23" t="s">
        <v>37</v>
      </c>
      <c r="E43" s="26">
        <f t="shared" si="10"/>
        <v>1.3125</v>
      </c>
      <c r="F43" s="56" t="s">
        <v>176</v>
      </c>
      <c r="G43" s="23" t="s">
        <v>37</v>
      </c>
      <c r="H43" s="185" t="s">
        <v>428</v>
      </c>
      <c r="I43" s="129">
        <v>5.32</v>
      </c>
      <c r="J43" s="44">
        <v>17697</v>
      </c>
      <c r="K43" s="24">
        <v>1.75</v>
      </c>
      <c r="L43" s="44">
        <f t="shared" si="1"/>
        <v>164759.07</v>
      </c>
      <c r="M43" s="25">
        <f t="shared" si="2"/>
        <v>21</v>
      </c>
      <c r="N43" s="56">
        <v>15</v>
      </c>
      <c r="O43" s="44">
        <f t="shared" si="3"/>
        <v>154461.62812500002</v>
      </c>
      <c r="P43" s="69">
        <v>6</v>
      </c>
      <c r="Q43" s="44">
        <f t="shared" si="14"/>
        <v>61784.651250000003</v>
      </c>
      <c r="R43" s="25"/>
      <c r="S43" s="44">
        <f t="shared" si="4"/>
        <v>216246.27937500001</v>
      </c>
      <c r="T43" s="44">
        <f t="shared" si="5"/>
        <v>21624.627937500001</v>
      </c>
      <c r="U43" s="44"/>
      <c r="V43" s="72"/>
      <c r="W43" s="73">
        <f t="shared" si="11"/>
        <v>0</v>
      </c>
      <c r="X43" s="72"/>
      <c r="Y43" s="74"/>
      <c r="Z43" s="44"/>
      <c r="AA43" s="48"/>
      <c r="AB43" s="44"/>
      <c r="AC43" s="44">
        <f t="shared" si="6"/>
        <v>64873.883812500004</v>
      </c>
      <c r="AD43" s="26">
        <v>21</v>
      </c>
      <c r="AE43" s="44">
        <f t="shared" si="13"/>
        <v>9290.9250000000011</v>
      </c>
      <c r="AF43" s="44"/>
      <c r="AG43" s="181"/>
      <c r="AH43" s="44"/>
      <c r="AI43" s="44">
        <f t="shared" si="15"/>
        <v>86498.511750000005</v>
      </c>
      <c r="AJ43" s="44"/>
      <c r="AK43" s="44"/>
      <c r="AL43" s="44">
        <f t="shared" si="7"/>
        <v>398534.22787499998</v>
      </c>
      <c r="AM43" s="44">
        <f t="shared" si="8"/>
        <v>4782.4107345000002</v>
      </c>
      <c r="AN43" s="204">
        <f t="shared" si="9"/>
        <v>21</v>
      </c>
    </row>
    <row r="44" spans="1:40" s="2" customFormat="1" ht="38.25" x14ac:dyDescent="0.2">
      <c r="A44" s="56">
        <v>24</v>
      </c>
      <c r="B44" s="58" t="s">
        <v>97</v>
      </c>
      <c r="C44" s="61" t="s">
        <v>156</v>
      </c>
      <c r="D44" s="23" t="s">
        <v>37</v>
      </c>
      <c r="E44" s="26">
        <f t="shared" si="10"/>
        <v>1.375</v>
      </c>
      <c r="F44" s="56" t="s">
        <v>176</v>
      </c>
      <c r="G44" s="23" t="s">
        <v>37</v>
      </c>
      <c r="H44" s="185" t="s">
        <v>429</v>
      </c>
      <c r="I44" s="129">
        <v>5.32</v>
      </c>
      <c r="J44" s="44">
        <v>17697</v>
      </c>
      <c r="K44" s="24">
        <v>1.75</v>
      </c>
      <c r="L44" s="44">
        <f t="shared" si="1"/>
        <v>164759.07</v>
      </c>
      <c r="M44" s="25">
        <f t="shared" si="2"/>
        <v>22</v>
      </c>
      <c r="N44" s="56">
        <v>18</v>
      </c>
      <c r="O44" s="44">
        <f t="shared" si="3"/>
        <v>185353.95375000002</v>
      </c>
      <c r="P44" s="69">
        <v>4</v>
      </c>
      <c r="Q44" s="44">
        <f t="shared" si="14"/>
        <v>41189.767500000002</v>
      </c>
      <c r="R44" s="25"/>
      <c r="S44" s="44">
        <f t="shared" si="4"/>
        <v>226543.72125</v>
      </c>
      <c r="T44" s="44">
        <f t="shared" si="5"/>
        <v>22654.372125000002</v>
      </c>
      <c r="U44" s="44"/>
      <c r="V44" s="72"/>
      <c r="W44" s="44">
        <f t="shared" si="11"/>
        <v>0</v>
      </c>
      <c r="X44" s="72">
        <v>22</v>
      </c>
      <c r="Y44" s="33">
        <v>0.5</v>
      </c>
      <c r="Z44" s="44">
        <f t="shared" si="12"/>
        <v>12166.6875</v>
      </c>
      <c r="AA44" s="48"/>
      <c r="AB44" s="44">
        <f>SUM(J44*2)</f>
        <v>35394</v>
      </c>
      <c r="AC44" s="44">
        <f t="shared" si="6"/>
        <v>67963.116374999998</v>
      </c>
      <c r="AD44" s="26">
        <v>22</v>
      </c>
      <c r="AE44" s="44">
        <f t="shared" si="13"/>
        <v>9733.35</v>
      </c>
      <c r="AF44" s="44">
        <f>SUM(J44*0.2)</f>
        <v>3539.4</v>
      </c>
      <c r="AG44" s="181"/>
      <c r="AH44" s="44"/>
      <c r="AI44" s="44">
        <f t="shared" si="15"/>
        <v>90617.488500000007</v>
      </c>
      <c r="AJ44" s="44"/>
      <c r="AK44" s="44"/>
      <c r="AL44" s="44">
        <f t="shared" si="7"/>
        <v>468612.13575000002</v>
      </c>
      <c r="AM44" s="44">
        <f t="shared" si="8"/>
        <v>5623.3456290000004</v>
      </c>
      <c r="AN44" s="204">
        <f t="shared" si="9"/>
        <v>0</v>
      </c>
    </row>
    <row r="45" spans="1:40" s="2" customFormat="1" ht="38.25" x14ac:dyDescent="0.2">
      <c r="A45" s="56">
        <v>25</v>
      </c>
      <c r="B45" s="62" t="s">
        <v>98</v>
      </c>
      <c r="C45" s="61" t="s">
        <v>157</v>
      </c>
      <c r="D45" s="23" t="s">
        <v>37</v>
      </c>
      <c r="E45" s="26">
        <f t="shared" si="10"/>
        <v>1.0625</v>
      </c>
      <c r="F45" s="56" t="s">
        <v>176</v>
      </c>
      <c r="G45" s="23" t="s">
        <v>37</v>
      </c>
      <c r="H45" s="185" t="s">
        <v>430</v>
      </c>
      <c r="I45" s="129">
        <v>5.24</v>
      </c>
      <c r="J45" s="44">
        <v>17697</v>
      </c>
      <c r="K45" s="24">
        <v>1.75</v>
      </c>
      <c r="L45" s="44">
        <f t="shared" si="1"/>
        <v>162281.49000000002</v>
      </c>
      <c r="M45" s="25">
        <f t="shared" si="2"/>
        <v>17</v>
      </c>
      <c r="N45" s="56"/>
      <c r="O45" s="44"/>
      <c r="P45" s="69">
        <v>17</v>
      </c>
      <c r="Q45" s="44">
        <f t="shared" si="14"/>
        <v>172424.08312500003</v>
      </c>
      <c r="R45" s="25"/>
      <c r="S45" s="44">
        <f t="shared" si="4"/>
        <v>172424.08312500003</v>
      </c>
      <c r="T45" s="44">
        <f t="shared" si="5"/>
        <v>17242.408312500003</v>
      </c>
      <c r="U45" s="44"/>
      <c r="V45" s="72"/>
      <c r="W45" s="44">
        <f t="shared" si="11"/>
        <v>0</v>
      </c>
      <c r="X45" s="72">
        <v>17</v>
      </c>
      <c r="Y45" s="33">
        <v>0.5</v>
      </c>
      <c r="Z45" s="44">
        <f t="shared" si="12"/>
        <v>9401.53125</v>
      </c>
      <c r="AA45" s="48">
        <f>3063*10</f>
        <v>30630</v>
      </c>
      <c r="AB45" s="44"/>
      <c r="AC45" s="44">
        <f t="shared" si="6"/>
        <v>51727.22493750001</v>
      </c>
      <c r="AD45" s="26">
        <v>17</v>
      </c>
      <c r="AE45" s="44">
        <f t="shared" si="13"/>
        <v>7521.2250000000004</v>
      </c>
      <c r="AF45" s="44"/>
      <c r="AG45" s="181"/>
      <c r="AH45" s="44"/>
      <c r="AI45" s="44"/>
      <c r="AJ45" s="44">
        <f>S45*0.5</f>
        <v>86212.041562500017</v>
      </c>
      <c r="AK45" s="44"/>
      <c r="AL45" s="44">
        <f t="shared" si="7"/>
        <v>375158.51418750011</v>
      </c>
      <c r="AM45" s="44">
        <f t="shared" si="8"/>
        <v>4501.9021702500013</v>
      </c>
      <c r="AN45" s="204">
        <f t="shared" si="9"/>
        <v>0</v>
      </c>
    </row>
    <row r="46" spans="1:40" s="2" customFormat="1" ht="38.25" x14ac:dyDescent="0.2">
      <c r="A46" s="56">
        <v>26</v>
      </c>
      <c r="B46" s="63" t="s">
        <v>99</v>
      </c>
      <c r="C46" s="61" t="s">
        <v>158</v>
      </c>
      <c r="D46" s="23" t="s">
        <v>37</v>
      </c>
      <c r="E46" s="26">
        <f t="shared" si="10"/>
        <v>1.3125</v>
      </c>
      <c r="F46" s="56" t="s">
        <v>176</v>
      </c>
      <c r="G46" s="23" t="s">
        <v>37</v>
      </c>
      <c r="H46" s="185" t="s">
        <v>431</v>
      </c>
      <c r="I46" s="129">
        <v>5.24</v>
      </c>
      <c r="J46" s="44">
        <v>17697</v>
      </c>
      <c r="K46" s="24">
        <v>1.75</v>
      </c>
      <c r="L46" s="44">
        <f t="shared" si="1"/>
        <v>162281.49000000002</v>
      </c>
      <c r="M46" s="25">
        <f t="shared" si="2"/>
        <v>21</v>
      </c>
      <c r="N46" s="56">
        <v>9</v>
      </c>
      <c r="O46" s="44">
        <f t="shared" si="3"/>
        <v>91283.338125000009</v>
      </c>
      <c r="P46" s="69">
        <v>12</v>
      </c>
      <c r="Q46" s="44">
        <f t="shared" si="14"/>
        <v>121711.11750000002</v>
      </c>
      <c r="R46" s="25"/>
      <c r="S46" s="44">
        <f t="shared" si="4"/>
        <v>212994.45562500003</v>
      </c>
      <c r="T46" s="44">
        <f t="shared" si="5"/>
        <v>21299.445562500005</v>
      </c>
      <c r="U46" s="44"/>
      <c r="V46" s="72"/>
      <c r="W46" s="44">
        <f t="shared" si="11"/>
        <v>0</v>
      </c>
      <c r="X46" s="72"/>
      <c r="Y46" s="33"/>
      <c r="Z46" s="44"/>
      <c r="AA46" s="48">
        <f>3063*10</f>
        <v>30630</v>
      </c>
      <c r="AB46" s="44">
        <f>SUM(J46*2)</f>
        <v>35394</v>
      </c>
      <c r="AC46" s="44">
        <f t="shared" si="6"/>
        <v>63898.336687500007</v>
      </c>
      <c r="AD46" s="26">
        <v>21</v>
      </c>
      <c r="AE46" s="44">
        <f t="shared" si="13"/>
        <v>9290.9250000000011</v>
      </c>
      <c r="AF46" s="44">
        <f>SUM(J46*0.2)</f>
        <v>3539.4</v>
      </c>
      <c r="AG46" s="181"/>
      <c r="AH46" s="44"/>
      <c r="AI46" s="44">
        <f>S46*0.4</f>
        <v>85197.782250000018</v>
      </c>
      <c r="AJ46" s="44"/>
      <c r="AK46" s="44"/>
      <c r="AL46" s="44">
        <f t="shared" si="7"/>
        <v>462244.34512500005</v>
      </c>
      <c r="AM46" s="44">
        <f t="shared" si="8"/>
        <v>5546.9321415000004</v>
      </c>
      <c r="AN46" s="204">
        <f t="shared" si="9"/>
        <v>21</v>
      </c>
    </row>
    <row r="47" spans="1:40" s="2" customFormat="1" ht="38.25" x14ac:dyDescent="0.2">
      <c r="A47" s="56">
        <v>27</v>
      </c>
      <c r="B47" s="59" t="s">
        <v>100</v>
      </c>
      <c r="C47" s="61" t="s">
        <v>146</v>
      </c>
      <c r="D47" s="23" t="s">
        <v>37</v>
      </c>
      <c r="E47" s="26">
        <f t="shared" si="10"/>
        <v>1</v>
      </c>
      <c r="F47" s="56" t="s">
        <v>176</v>
      </c>
      <c r="G47" s="23" t="s">
        <v>37</v>
      </c>
      <c r="H47" s="185" t="s">
        <v>432</v>
      </c>
      <c r="I47" s="129">
        <v>5.32</v>
      </c>
      <c r="J47" s="44">
        <v>17697</v>
      </c>
      <c r="K47" s="24">
        <v>1.75</v>
      </c>
      <c r="L47" s="44">
        <f t="shared" si="1"/>
        <v>164759.07</v>
      </c>
      <c r="M47" s="25">
        <f t="shared" si="2"/>
        <v>16</v>
      </c>
      <c r="N47" s="56">
        <v>16</v>
      </c>
      <c r="O47" s="44">
        <f t="shared" si="3"/>
        <v>164759.07</v>
      </c>
      <c r="P47" s="69"/>
      <c r="Q47" s="44"/>
      <c r="R47" s="25"/>
      <c r="S47" s="44">
        <f t="shared" si="4"/>
        <v>164759.07</v>
      </c>
      <c r="T47" s="44">
        <f t="shared" si="5"/>
        <v>16475.907000000003</v>
      </c>
      <c r="U47" s="44"/>
      <c r="V47" s="72"/>
      <c r="W47" s="44">
        <f t="shared" si="11"/>
        <v>0</v>
      </c>
      <c r="X47" s="72">
        <v>11.5</v>
      </c>
      <c r="Y47" s="33">
        <v>0.5</v>
      </c>
      <c r="Z47" s="44">
        <f t="shared" si="12"/>
        <v>6359.859375</v>
      </c>
      <c r="AA47" s="48"/>
      <c r="AB47" s="44"/>
      <c r="AC47" s="44">
        <f t="shared" si="6"/>
        <v>49427.720999999998</v>
      </c>
      <c r="AD47" s="26"/>
      <c r="AE47" s="44"/>
      <c r="AF47" s="44"/>
      <c r="AG47" s="181"/>
      <c r="AH47" s="44"/>
      <c r="AI47" s="44">
        <f>S47*0.4</f>
        <v>65903.628000000012</v>
      </c>
      <c r="AJ47" s="44"/>
      <c r="AK47" s="44"/>
      <c r="AL47" s="44">
        <f t="shared" si="7"/>
        <v>302926.185375</v>
      </c>
      <c r="AM47" s="44">
        <f t="shared" si="8"/>
        <v>3635.1142245000001</v>
      </c>
      <c r="AN47" s="204">
        <f t="shared" si="9"/>
        <v>4.5</v>
      </c>
    </row>
    <row r="48" spans="1:40" s="2" customFormat="1" ht="38.25" x14ac:dyDescent="0.2">
      <c r="A48" s="56">
        <v>28</v>
      </c>
      <c r="B48" s="59" t="s">
        <v>101</v>
      </c>
      <c r="C48" s="61" t="s">
        <v>157</v>
      </c>
      <c r="D48" s="23" t="s">
        <v>37</v>
      </c>
      <c r="E48" s="26">
        <f t="shared" si="10"/>
        <v>1.3125</v>
      </c>
      <c r="F48" s="56" t="s">
        <v>179</v>
      </c>
      <c r="G48" s="23" t="s">
        <v>69</v>
      </c>
      <c r="H48" s="185" t="s">
        <v>433</v>
      </c>
      <c r="I48" s="129">
        <v>5.12</v>
      </c>
      <c r="J48" s="44">
        <v>17697</v>
      </c>
      <c r="K48" s="24">
        <v>1.75</v>
      </c>
      <c r="L48" s="44">
        <f t="shared" si="1"/>
        <v>158565.12</v>
      </c>
      <c r="M48" s="25">
        <f t="shared" si="2"/>
        <v>21</v>
      </c>
      <c r="N48" s="56"/>
      <c r="O48" s="44"/>
      <c r="P48" s="69">
        <v>21</v>
      </c>
      <c r="Q48" s="44">
        <f t="shared" si="14"/>
        <v>208116.72</v>
      </c>
      <c r="R48" s="25"/>
      <c r="S48" s="44">
        <f t="shared" si="4"/>
        <v>208116.72</v>
      </c>
      <c r="T48" s="44">
        <f t="shared" si="5"/>
        <v>20811.672000000002</v>
      </c>
      <c r="U48" s="44"/>
      <c r="V48" s="72"/>
      <c r="W48" s="44">
        <f t="shared" si="11"/>
        <v>0</v>
      </c>
      <c r="X48" s="72">
        <v>21</v>
      </c>
      <c r="Y48" s="33">
        <v>0.5</v>
      </c>
      <c r="Z48" s="44">
        <f t="shared" si="12"/>
        <v>11613.65625</v>
      </c>
      <c r="AA48" s="48"/>
      <c r="AB48" s="44"/>
      <c r="AC48" s="44">
        <f t="shared" si="6"/>
        <v>62435.015999999996</v>
      </c>
      <c r="AD48" s="26"/>
      <c r="AE48" s="44"/>
      <c r="AF48" s="44">
        <f>SUM(J48*0.2)</f>
        <v>3539.4</v>
      </c>
      <c r="AG48" s="181"/>
      <c r="AH48" s="181">
        <f>S48*35%</f>
        <v>72840.851999999999</v>
      </c>
      <c r="AI48" s="44"/>
      <c r="AJ48" s="44"/>
      <c r="AK48" s="44"/>
      <c r="AL48" s="44">
        <f t="shared" si="7"/>
        <v>379357.31624999997</v>
      </c>
      <c r="AM48" s="44">
        <f t="shared" si="8"/>
        <v>4552.2877950000002</v>
      </c>
      <c r="AN48" s="204">
        <f t="shared" si="9"/>
        <v>0</v>
      </c>
    </row>
    <row r="49" spans="1:40" s="2" customFormat="1" ht="38.25" x14ac:dyDescent="0.2">
      <c r="A49" s="56">
        <v>29</v>
      </c>
      <c r="B49" s="58" t="s">
        <v>102</v>
      </c>
      <c r="C49" s="61" t="s">
        <v>159</v>
      </c>
      <c r="D49" s="23" t="s">
        <v>37</v>
      </c>
      <c r="E49" s="26">
        <f t="shared" si="10"/>
        <v>1.25</v>
      </c>
      <c r="F49" s="56" t="s">
        <v>176</v>
      </c>
      <c r="G49" s="23" t="s">
        <v>37</v>
      </c>
      <c r="H49" s="185" t="s">
        <v>434</v>
      </c>
      <c r="I49" s="129">
        <v>5.24</v>
      </c>
      <c r="J49" s="44">
        <v>17697</v>
      </c>
      <c r="K49" s="24">
        <v>1.75</v>
      </c>
      <c r="L49" s="44">
        <f t="shared" si="1"/>
        <v>162281.49000000002</v>
      </c>
      <c r="M49" s="25">
        <f t="shared" si="2"/>
        <v>20</v>
      </c>
      <c r="N49" s="56">
        <v>8</v>
      </c>
      <c r="O49" s="44">
        <f t="shared" si="3"/>
        <v>81140.74500000001</v>
      </c>
      <c r="P49" s="69">
        <v>12</v>
      </c>
      <c r="Q49" s="44">
        <f t="shared" si="14"/>
        <v>121711.11750000002</v>
      </c>
      <c r="R49" s="25"/>
      <c r="S49" s="44">
        <f t="shared" si="4"/>
        <v>202851.86250000005</v>
      </c>
      <c r="T49" s="44">
        <f t="shared" si="5"/>
        <v>20285.186250000006</v>
      </c>
      <c r="U49" s="44"/>
      <c r="V49" s="72"/>
      <c r="W49" s="44">
        <f t="shared" si="11"/>
        <v>0</v>
      </c>
      <c r="X49" s="72">
        <v>14</v>
      </c>
      <c r="Y49" s="33">
        <v>0.5</v>
      </c>
      <c r="Z49" s="44">
        <f t="shared" si="12"/>
        <v>7742.4375</v>
      </c>
      <c r="AA49" s="48"/>
      <c r="AB49" s="44"/>
      <c r="AC49" s="44">
        <f t="shared" si="6"/>
        <v>60855.558750000011</v>
      </c>
      <c r="AD49" s="26">
        <v>20</v>
      </c>
      <c r="AE49" s="44">
        <f t="shared" si="13"/>
        <v>8848.5</v>
      </c>
      <c r="AF49" s="44"/>
      <c r="AG49" s="181"/>
      <c r="AH49" s="44"/>
      <c r="AI49" s="44">
        <f>S49*0.4</f>
        <v>81140.745000000024</v>
      </c>
      <c r="AJ49" s="44"/>
      <c r="AK49" s="44"/>
      <c r="AL49" s="44">
        <f t="shared" si="7"/>
        <v>381724.29000000004</v>
      </c>
      <c r="AM49" s="44">
        <f t="shared" si="8"/>
        <v>4580.6914800000004</v>
      </c>
      <c r="AN49" s="204">
        <f t="shared" si="9"/>
        <v>6</v>
      </c>
    </row>
    <row r="50" spans="1:40" s="2" customFormat="1" ht="30" x14ac:dyDescent="0.2">
      <c r="A50" s="56">
        <v>30</v>
      </c>
      <c r="B50" s="60" t="s">
        <v>103</v>
      </c>
      <c r="C50" s="61" t="s">
        <v>160</v>
      </c>
      <c r="D50" s="23" t="s">
        <v>37</v>
      </c>
      <c r="E50" s="26">
        <f t="shared" si="10"/>
        <v>1.3125</v>
      </c>
      <c r="F50" s="56" t="s">
        <v>180</v>
      </c>
      <c r="G50" s="23"/>
      <c r="H50" s="185" t="s">
        <v>370</v>
      </c>
      <c r="I50" s="129">
        <v>4.0999999999999996</v>
      </c>
      <c r="J50" s="44">
        <v>17697</v>
      </c>
      <c r="K50" s="24">
        <v>1.75</v>
      </c>
      <c r="L50" s="44">
        <f t="shared" si="1"/>
        <v>126975.97499999999</v>
      </c>
      <c r="M50" s="25">
        <f t="shared" si="2"/>
        <v>21</v>
      </c>
      <c r="N50" s="56">
        <v>12</v>
      </c>
      <c r="O50" s="44">
        <f t="shared" si="3"/>
        <v>95231.981249999997</v>
      </c>
      <c r="P50" s="69">
        <v>9</v>
      </c>
      <c r="Q50" s="44">
        <f t="shared" si="14"/>
        <v>71423.985937499994</v>
      </c>
      <c r="R50" s="25"/>
      <c r="S50" s="44">
        <f t="shared" si="4"/>
        <v>166655.96718749998</v>
      </c>
      <c r="T50" s="44">
        <f t="shared" si="5"/>
        <v>16665.596718749999</v>
      </c>
      <c r="U50" s="44"/>
      <c r="V50" s="72"/>
      <c r="W50" s="44">
        <f t="shared" si="11"/>
        <v>0</v>
      </c>
      <c r="X50" s="72">
        <v>0</v>
      </c>
      <c r="Y50" s="33"/>
      <c r="Z50" s="44">
        <f t="shared" si="12"/>
        <v>0</v>
      </c>
      <c r="AA50" s="48"/>
      <c r="AB50" s="44">
        <f>SUM(J50*2)</f>
        <v>35394</v>
      </c>
      <c r="AC50" s="44">
        <f t="shared" si="6"/>
        <v>49996.79015624999</v>
      </c>
      <c r="AD50" s="26">
        <v>21</v>
      </c>
      <c r="AE50" s="44">
        <f t="shared" si="13"/>
        <v>9290.9250000000011</v>
      </c>
      <c r="AF50" s="44"/>
      <c r="AG50" s="181"/>
      <c r="AH50" s="44"/>
      <c r="AI50" s="44"/>
      <c r="AJ50" s="44"/>
      <c r="AK50" s="44"/>
      <c r="AL50" s="44">
        <f t="shared" si="7"/>
        <v>278003.27906249999</v>
      </c>
      <c r="AM50" s="44">
        <f t="shared" si="8"/>
        <v>3336.03934875</v>
      </c>
      <c r="AN50" s="204">
        <f t="shared" si="9"/>
        <v>21</v>
      </c>
    </row>
    <row r="51" spans="1:40" s="2" customFormat="1" ht="38.25" x14ac:dyDescent="0.2">
      <c r="A51" s="56">
        <v>31</v>
      </c>
      <c r="B51" s="58" t="s">
        <v>104</v>
      </c>
      <c r="C51" s="61" t="s">
        <v>159</v>
      </c>
      <c r="D51" s="23" t="s">
        <v>37</v>
      </c>
      <c r="E51" s="26">
        <f t="shared" si="10"/>
        <v>1.125</v>
      </c>
      <c r="F51" s="56" t="s">
        <v>176</v>
      </c>
      <c r="G51" s="23" t="s">
        <v>37</v>
      </c>
      <c r="H51" s="185" t="s">
        <v>435</v>
      </c>
      <c r="I51" s="129">
        <v>5.01</v>
      </c>
      <c r="J51" s="44">
        <v>17697</v>
      </c>
      <c r="K51" s="24">
        <v>1.75</v>
      </c>
      <c r="L51" s="44">
        <f t="shared" si="1"/>
        <v>155158.44749999998</v>
      </c>
      <c r="M51" s="25">
        <f t="shared" si="2"/>
        <v>18</v>
      </c>
      <c r="N51" s="56">
        <v>18</v>
      </c>
      <c r="O51" s="44">
        <f t="shared" si="3"/>
        <v>174553.25343749998</v>
      </c>
      <c r="P51" s="69"/>
      <c r="Q51" s="44"/>
      <c r="R51" s="25"/>
      <c r="S51" s="44">
        <f t="shared" si="4"/>
        <v>174553.25343749998</v>
      </c>
      <c r="T51" s="44">
        <f t="shared" si="5"/>
        <v>17455.325343749999</v>
      </c>
      <c r="U51" s="44"/>
      <c r="V51" s="72"/>
      <c r="W51" s="44">
        <f t="shared" si="11"/>
        <v>0</v>
      </c>
      <c r="X51" s="72">
        <v>14</v>
      </c>
      <c r="Y51" s="33">
        <v>0.5</v>
      </c>
      <c r="Z51" s="44">
        <f t="shared" si="12"/>
        <v>7742.4375</v>
      </c>
      <c r="AA51" s="48">
        <f>3063*10</f>
        <v>30630</v>
      </c>
      <c r="AB51" s="44"/>
      <c r="AC51" s="44">
        <f t="shared" si="6"/>
        <v>52365.976031249993</v>
      </c>
      <c r="AD51" s="26">
        <v>18</v>
      </c>
      <c r="AE51" s="44">
        <f t="shared" si="13"/>
        <v>7963.6500000000005</v>
      </c>
      <c r="AF51" s="44"/>
      <c r="AG51" s="181"/>
      <c r="AH51" s="44"/>
      <c r="AI51" s="44">
        <f>S51*0.4</f>
        <v>69821.301374999995</v>
      </c>
      <c r="AJ51" s="44"/>
      <c r="AK51" s="44"/>
      <c r="AL51" s="44">
        <f t="shared" si="7"/>
        <v>360531.94368749997</v>
      </c>
      <c r="AM51" s="44">
        <f t="shared" si="8"/>
        <v>4326.3833242499995</v>
      </c>
      <c r="AN51" s="204">
        <f t="shared" si="9"/>
        <v>4</v>
      </c>
    </row>
    <row r="52" spans="1:40" s="2" customFormat="1" ht="38.25" x14ac:dyDescent="0.2">
      <c r="A52" s="56">
        <v>32</v>
      </c>
      <c r="B52" s="63" t="s">
        <v>105</v>
      </c>
      <c r="C52" s="61" t="s">
        <v>157</v>
      </c>
      <c r="D52" s="23" t="s">
        <v>37</v>
      </c>
      <c r="E52" s="26">
        <f t="shared" si="10"/>
        <v>1.1875</v>
      </c>
      <c r="F52" s="56" t="s">
        <v>181</v>
      </c>
      <c r="G52" s="23" t="s">
        <v>70</v>
      </c>
      <c r="H52" s="185" t="s">
        <v>436</v>
      </c>
      <c r="I52" s="129">
        <v>5.16</v>
      </c>
      <c r="J52" s="44">
        <v>17697</v>
      </c>
      <c r="K52" s="24">
        <v>1.75</v>
      </c>
      <c r="L52" s="44">
        <f t="shared" si="1"/>
        <v>159803.91</v>
      </c>
      <c r="M52" s="25">
        <f t="shared" si="2"/>
        <v>19</v>
      </c>
      <c r="N52" s="56">
        <v>16</v>
      </c>
      <c r="O52" s="44">
        <f t="shared" si="3"/>
        <v>159803.91</v>
      </c>
      <c r="P52" s="69">
        <v>3</v>
      </c>
      <c r="Q52" s="44">
        <f t="shared" si="14"/>
        <v>29963.233124999999</v>
      </c>
      <c r="R52" s="25"/>
      <c r="S52" s="44">
        <f t="shared" si="4"/>
        <v>189767.143125</v>
      </c>
      <c r="T52" s="44">
        <f t="shared" si="5"/>
        <v>18976.7143125</v>
      </c>
      <c r="U52" s="44"/>
      <c r="V52" s="72"/>
      <c r="W52" s="44">
        <f t="shared" si="11"/>
        <v>0</v>
      </c>
      <c r="X52" s="72">
        <v>16</v>
      </c>
      <c r="Y52" s="33">
        <v>0.5</v>
      </c>
      <c r="Z52" s="44">
        <f t="shared" si="12"/>
        <v>8848.5</v>
      </c>
      <c r="AA52" s="48">
        <f>3063*10</f>
        <v>30630</v>
      </c>
      <c r="AB52" s="44"/>
      <c r="AC52" s="44">
        <f t="shared" si="6"/>
        <v>56930.142937500001</v>
      </c>
      <c r="AD52" s="26">
        <v>19</v>
      </c>
      <c r="AE52" s="44">
        <f t="shared" si="13"/>
        <v>8406.0750000000007</v>
      </c>
      <c r="AF52" s="44">
        <f>SUM(J52*0.2)</f>
        <v>3539.4</v>
      </c>
      <c r="AG52" s="181"/>
      <c r="AH52" s="44"/>
      <c r="AI52" s="44"/>
      <c r="AJ52" s="44"/>
      <c r="AK52" s="44"/>
      <c r="AL52" s="44">
        <f t="shared" si="7"/>
        <v>317097.97537500004</v>
      </c>
      <c r="AM52" s="44">
        <f t="shared" si="8"/>
        <v>3805.1757045000004</v>
      </c>
      <c r="AN52" s="204">
        <f t="shared" si="9"/>
        <v>3</v>
      </c>
    </row>
    <row r="53" spans="1:40" s="2" customFormat="1" ht="30" x14ac:dyDescent="0.2">
      <c r="A53" s="56">
        <v>33</v>
      </c>
      <c r="B53" s="59" t="s">
        <v>106</v>
      </c>
      <c r="C53" s="61" t="s">
        <v>161</v>
      </c>
      <c r="D53" s="23" t="s">
        <v>37</v>
      </c>
      <c r="E53" s="26">
        <f t="shared" si="10"/>
        <v>1.3125</v>
      </c>
      <c r="F53" s="56" t="s">
        <v>180</v>
      </c>
      <c r="G53" s="23"/>
      <c r="H53" s="185" t="s">
        <v>437</v>
      </c>
      <c r="I53" s="129">
        <v>4.2300000000000004</v>
      </c>
      <c r="J53" s="44">
        <v>17697</v>
      </c>
      <c r="K53" s="24">
        <v>1.75</v>
      </c>
      <c r="L53" s="44">
        <f t="shared" si="1"/>
        <v>131002.04250000001</v>
      </c>
      <c r="M53" s="25">
        <f t="shared" si="2"/>
        <v>21</v>
      </c>
      <c r="N53" s="56">
        <v>12</v>
      </c>
      <c r="O53" s="44">
        <f t="shared" si="3"/>
        <v>98251.531875000015</v>
      </c>
      <c r="P53" s="69">
        <v>9</v>
      </c>
      <c r="Q53" s="44">
        <f t="shared" si="14"/>
        <v>73688.648906250004</v>
      </c>
      <c r="R53" s="25"/>
      <c r="S53" s="44">
        <f t="shared" si="4"/>
        <v>171940.18078125</v>
      </c>
      <c r="T53" s="44">
        <f t="shared" si="5"/>
        <v>17194.018078125002</v>
      </c>
      <c r="U53" s="44"/>
      <c r="V53" s="72"/>
      <c r="W53" s="44">
        <f t="shared" si="11"/>
        <v>0</v>
      </c>
      <c r="X53" s="72">
        <v>11</v>
      </c>
      <c r="Y53" s="33">
        <v>0.5</v>
      </c>
      <c r="Z53" s="44">
        <f t="shared" si="12"/>
        <v>6083.34375</v>
      </c>
      <c r="AA53" s="48"/>
      <c r="AB53" s="44">
        <f>SUM(J53*2)</f>
        <v>35394</v>
      </c>
      <c r="AC53" s="44">
        <f t="shared" si="6"/>
        <v>51582.054234374998</v>
      </c>
      <c r="AD53" s="26">
        <v>21</v>
      </c>
      <c r="AE53" s="44">
        <f t="shared" si="13"/>
        <v>9290.9250000000011</v>
      </c>
      <c r="AF53" s="44"/>
      <c r="AG53" s="181"/>
      <c r="AH53" s="44"/>
      <c r="AI53" s="44"/>
      <c r="AJ53" s="44"/>
      <c r="AK53" s="44"/>
      <c r="AL53" s="44">
        <f t="shared" si="7"/>
        <v>291484.52184375003</v>
      </c>
      <c r="AM53" s="44">
        <f t="shared" si="8"/>
        <v>3497.8142621250004</v>
      </c>
      <c r="AN53" s="204">
        <f t="shared" si="9"/>
        <v>10</v>
      </c>
    </row>
    <row r="54" spans="1:40" s="2" customFormat="1" ht="38.25" x14ac:dyDescent="0.2">
      <c r="A54" s="56">
        <v>34</v>
      </c>
      <c r="B54" s="60" t="s">
        <v>107</v>
      </c>
      <c r="C54" s="61" t="s">
        <v>162</v>
      </c>
      <c r="D54" s="23" t="s">
        <v>37</v>
      </c>
      <c r="E54" s="26">
        <f t="shared" si="10"/>
        <v>0.25</v>
      </c>
      <c r="F54" s="56" t="s">
        <v>180</v>
      </c>
      <c r="G54" s="23"/>
      <c r="H54" s="185" t="s">
        <v>370</v>
      </c>
      <c r="I54" s="129">
        <v>4.0999999999999996</v>
      </c>
      <c r="J54" s="44">
        <v>17697</v>
      </c>
      <c r="K54" s="24">
        <v>1.75</v>
      </c>
      <c r="L54" s="44">
        <f t="shared" si="1"/>
        <v>126975.97499999999</v>
      </c>
      <c r="M54" s="25">
        <f t="shared" si="2"/>
        <v>4</v>
      </c>
      <c r="N54" s="56">
        <v>4</v>
      </c>
      <c r="O54" s="44">
        <f t="shared" si="3"/>
        <v>31743.993749999998</v>
      </c>
      <c r="P54" s="69"/>
      <c r="Q54" s="44"/>
      <c r="R54" s="25"/>
      <c r="S54" s="44">
        <f t="shared" si="4"/>
        <v>31743.993749999998</v>
      </c>
      <c r="T54" s="44">
        <f t="shared" si="5"/>
        <v>3174.399375</v>
      </c>
      <c r="U54" s="44"/>
      <c r="V54" s="72"/>
      <c r="W54" s="44">
        <f t="shared" si="11"/>
        <v>0</v>
      </c>
      <c r="X54" s="72"/>
      <c r="Y54" s="33"/>
      <c r="Z54" s="44"/>
      <c r="AA54" s="48"/>
      <c r="AB54" s="44"/>
      <c r="AC54" s="44">
        <f t="shared" si="6"/>
        <v>9523.198124999999</v>
      </c>
      <c r="AD54" s="26"/>
      <c r="AE54" s="44"/>
      <c r="AF54" s="44"/>
      <c r="AG54" s="181"/>
      <c r="AH54" s="44"/>
      <c r="AI54" s="44"/>
      <c r="AJ54" s="44"/>
      <c r="AK54" s="44"/>
      <c r="AL54" s="44">
        <f t="shared" si="7"/>
        <v>44441.591249999998</v>
      </c>
      <c r="AM54" s="44">
        <f t="shared" si="8"/>
        <v>533.29909499999997</v>
      </c>
      <c r="AN54" s="204">
        <f t="shared" si="9"/>
        <v>4</v>
      </c>
    </row>
    <row r="55" spans="1:40" s="2" customFormat="1" ht="30" x14ac:dyDescent="0.2">
      <c r="A55" s="56">
        <v>35</v>
      </c>
      <c r="B55" s="64" t="s">
        <v>108</v>
      </c>
      <c r="C55" s="61" t="s">
        <v>163</v>
      </c>
      <c r="D55" s="23" t="s">
        <v>37</v>
      </c>
      <c r="E55" s="26">
        <f t="shared" si="10"/>
        <v>1.25</v>
      </c>
      <c r="F55" s="56" t="s">
        <v>181</v>
      </c>
      <c r="G55" s="23" t="s">
        <v>70</v>
      </c>
      <c r="H55" s="185" t="s">
        <v>414</v>
      </c>
      <c r="I55" s="129">
        <v>5.16</v>
      </c>
      <c r="J55" s="44">
        <v>17697</v>
      </c>
      <c r="K55" s="24">
        <v>1.75</v>
      </c>
      <c r="L55" s="44">
        <f t="shared" si="1"/>
        <v>159803.91</v>
      </c>
      <c r="M55" s="25">
        <f t="shared" si="2"/>
        <v>20</v>
      </c>
      <c r="N55" s="56">
        <v>20</v>
      </c>
      <c r="O55" s="44">
        <f t="shared" si="3"/>
        <v>199754.88750000001</v>
      </c>
      <c r="P55" s="69"/>
      <c r="Q55" s="44"/>
      <c r="R55" s="25"/>
      <c r="S55" s="44">
        <f t="shared" si="4"/>
        <v>199754.88750000001</v>
      </c>
      <c r="T55" s="44">
        <f t="shared" si="5"/>
        <v>19975.488750000004</v>
      </c>
      <c r="U55" s="44"/>
      <c r="V55" s="72"/>
      <c r="W55" s="44">
        <f t="shared" si="11"/>
        <v>0</v>
      </c>
      <c r="X55" s="72"/>
      <c r="Y55" s="33"/>
      <c r="Z55" s="44"/>
      <c r="AA55" s="48"/>
      <c r="AB55" s="44"/>
      <c r="AC55" s="44">
        <f t="shared" si="6"/>
        <v>59926.466249999998</v>
      </c>
      <c r="AD55" s="26"/>
      <c r="AE55" s="44"/>
      <c r="AF55" s="44"/>
      <c r="AG55" s="181">
        <f>+O55*30%</f>
        <v>59926.466249999998</v>
      </c>
      <c r="AH55" s="44"/>
      <c r="AI55" s="44"/>
      <c r="AJ55" s="44"/>
      <c r="AK55" s="44"/>
      <c r="AL55" s="44">
        <f t="shared" si="7"/>
        <v>339583.30875000003</v>
      </c>
      <c r="AM55" s="44">
        <f t="shared" si="8"/>
        <v>4074.9997050000002</v>
      </c>
      <c r="AN55" s="204">
        <f t="shared" si="9"/>
        <v>20</v>
      </c>
    </row>
    <row r="56" spans="1:40" s="2" customFormat="1" ht="38.25" x14ac:dyDescent="0.2">
      <c r="A56" s="56">
        <v>36</v>
      </c>
      <c r="B56" s="65" t="s">
        <v>109</v>
      </c>
      <c r="C56" s="61" t="s">
        <v>157</v>
      </c>
      <c r="D56" s="23" t="s">
        <v>37</v>
      </c>
      <c r="E56" s="26">
        <f t="shared" si="10"/>
        <v>1</v>
      </c>
      <c r="F56" s="56" t="s">
        <v>179</v>
      </c>
      <c r="G56" s="23" t="s">
        <v>69</v>
      </c>
      <c r="H56" s="185" t="s">
        <v>438</v>
      </c>
      <c r="I56" s="129">
        <v>5.03</v>
      </c>
      <c r="J56" s="44">
        <v>17697</v>
      </c>
      <c r="K56" s="24">
        <v>1.75</v>
      </c>
      <c r="L56" s="44">
        <f t="shared" si="1"/>
        <v>155777.8425</v>
      </c>
      <c r="M56" s="25">
        <f t="shared" si="2"/>
        <v>16</v>
      </c>
      <c r="N56" s="56">
        <v>12</v>
      </c>
      <c r="O56" s="44">
        <f t="shared" si="3"/>
        <v>116833.38187499999</v>
      </c>
      <c r="P56" s="69">
        <v>4</v>
      </c>
      <c r="Q56" s="44">
        <f t="shared" si="14"/>
        <v>38944.460625</v>
      </c>
      <c r="R56" s="25"/>
      <c r="S56" s="44">
        <f t="shared" si="4"/>
        <v>155777.8425</v>
      </c>
      <c r="T56" s="44">
        <f t="shared" si="5"/>
        <v>15577.784250000001</v>
      </c>
      <c r="U56" s="44"/>
      <c r="V56" s="72"/>
      <c r="W56" s="44">
        <f t="shared" si="11"/>
        <v>0</v>
      </c>
      <c r="X56" s="72">
        <v>16</v>
      </c>
      <c r="Y56" s="33">
        <v>0.5</v>
      </c>
      <c r="Z56" s="44">
        <f t="shared" si="12"/>
        <v>8848.5</v>
      </c>
      <c r="AA56" s="48"/>
      <c r="AB56" s="44"/>
      <c r="AC56" s="44">
        <f t="shared" si="6"/>
        <v>46733.352749999998</v>
      </c>
      <c r="AD56" s="26">
        <v>16</v>
      </c>
      <c r="AE56" s="44">
        <f t="shared" si="13"/>
        <v>7078.8</v>
      </c>
      <c r="AF56" s="44"/>
      <c r="AG56" s="181"/>
      <c r="AH56" s="181">
        <f>S56*35%</f>
        <v>54522.244874999997</v>
      </c>
      <c r="AI56" s="44"/>
      <c r="AJ56" s="44"/>
      <c r="AK56" s="44"/>
      <c r="AL56" s="44">
        <f t="shared" si="7"/>
        <v>288538.52437500004</v>
      </c>
      <c r="AM56" s="44">
        <f t="shared" si="8"/>
        <v>3462.4622925000003</v>
      </c>
      <c r="AN56" s="204">
        <f t="shared" si="9"/>
        <v>0</v>
      </c>
    </row>
    <row r="57" spans="1:40" s="2" customFormat="1" ht="30" x14ac:dyDescent="0.2">
      <c r="A57" s="56">
        <v>37</v>
      </c>
      <c r="B57" s="58" t="s">
        <v>110</v>
      </c>
      <c r="C57" s="61" t="s">
        <v>164</v>
      </c>
      <c r="D57" s="23" t="s">
        <v>37</v>
      </c>
      <c r="E57" s="26">
        <f t="shared" si="10"/>
        <v>1</v>
      </c>
      <c r="F57" s="56" t="s">
        <v>181</v>
      </c>
      <c r="G57" s="23" t="s">
        <v>70</v>
      </c>
      <c r="H57" s="185" t="s">
        <v>439</v>
      </c>
      <c r="I57" s="129">
        <v>4.9000000000000004</v>
      </c>
      <c r="J57" s="44">
        <v>17697</v>
      </c>
      <c r="K57" s="24">
        <v>1.75</v>
      </c>
      <c r="L57" s="44">
        <f t="shared" si="1"/>
        <v>151751.77500000002</v>
      </c>
      <c r="M57" s="25">
        <f t="shared" si="2"/>
        <v>16</v>
      </c>
      <c r="N57" s="56">
        <v>16</v>
      </c>
      <c r="O57" s="44">
        <f t="shared" si="3"/>
        <v>151751.77500000002</v>
      </c>
      <c r="P57" s="69"/>
      <c r="Q57" s="44"/>
      <c r="R57" s="25"/>
      <c r="S57" s="44">
        <f t="shared" si="4"/>
        <v>151751.77500000002</v>
      </c>
      <c r="T57" s="44">
        <f t="shared" si="5"/>
        <v>15175.177500000003</v>
      </c>
      <c r="U57" s="44"/>
      <c r="V57" s="72"/>
      <c r="W57" s="44">
        <f t="shared" si="11"/>
        <v>0</v>
      </c>
      <c r="X57" s="72"/>
      <c r="Y57" s="33"/>
      <c r="Z57" s="44"/>
      <c r="AA57" s="48"/>
      <c r="AB57" s="44"/>
      <c r="AC57" s="44">
        <f t="shared" si="6"/>
        <v>45525.532500000008</v>
      </c>
      <c r="AD57" s="26"/>
      <c r="AE57" s="44"/>
      <c r="AF57" s="44"/>
      <c r="AG57" s="181"/>
      <c r="AH57" s="44"/>
      <c r="AI57" s="44"/>
      <c r="AJ57" s="44"/>
      <c r="AK57" s="44"/>
      <c r="AL57" s="44">
        <f t="shared" si="7"/>
        <v>212452.48500000004</v>
      </c>
      <c r="AM57" s="44">
        <f t="shared" si="8"/>
        <v>2549.4298200000003</v>
      </c>
      <c r="AN57" s="204">
        <f t="shared" si="9"/>
        <v>16</v>
      </c>
    </row>
    <row r="58" spans="1:40" s="2" customFormat="1" ht="38.25" x14ac:dyDescent="0.2">
      <c r="A58" s="56">
        <v>38</v>
      </c>
      <c r="B58" s="58" t="s">
        <v>111</v>
      </c>
      <c r="C58" s="61" t="s">
        <v>165</v>
      </c>
      <c r="D58" s="23" t="s">
        <v>37</v>
      </c>
      <c r="E58" s="26">
        <f t="shared" si="10"/>
        <v>1.125</v>
      </c>
      <c r="F58" s="56" t="s">
        <v>179</v>
      </c>
      <c r="G58" s="23" t="s">
        <v>69</v>
      </c>
      <c r="H58" s="185" t="s">
        <v>440</v>
      </c>
      <c r="I58" s="129">
        <v>4.8600000000000003</v>
      </c>
      <c r="J58" s="44">
        <v>17697</v>
      </c>
      <c r="K58" s="24">
        <v>1.75</v>
      </c>
      <c r="L58" s="44">
        <f t="shared" si="1"/>
        <v>150512.98500000002</v>
      </c>
      <c r="M58" s="25">
        <f t="shared" si="2"/>
        <v>18</v>
      </c>
      <c r="N58" s="56"/>
      <c r="O58" s="44"/>
      <c r="P58" s="69">
        <v>18</v>
      </c>
      <c r="Q58" s="44">
        <f t="shared" si="14"/>
        <v>169327.10812500003</v>
      </c>
      <c r="R58" s="25"/>
      <c r="S58" s="44">
        <f t="shared" si="4"/>
        <v>169327.10812500003</v>
      </c>
      <c r="T58" s="44">
        <f t="shared" si="5"/>
        <v>16932.710812500005</v>
      </c>
      <c r="U58" s="44"/>
      <c r="V58" s="72"/>
      <c r="W58" s="44">
        <f t="shared" si="11"/>
        <v>0</v>
      </c>
      <c r="X58" s="72"/>
      <c r="Y58" s="33"/>
      <c r="Z58" s="44"/>
      <c r="AA58" s="48"/>
      <c r="AB58" s="44"/>
      <c r="AC58" s="44">
        <f t="shared" si="6"/>
        <v>50798.132437500004</v>
      </c>
      <c r="AD58" s="26"/>
      <c r="AE58" s="44"/>
      <c r="AF58" s="44"/>
      <c r="AG58" s="181"/>
      <c r="AH58" s="181">
        <f>S58*35%</f>
        <v>59264.487843750008</v>
      </c>
      <c r="AI58" s="44"/>
      <c r="AJ58" s="44"/>
      <c r="AK58" s="44"/>
      <c r="AL58" s="44">
        <f t="shared" si="7"/>
        <v>296322.43921875005</v>
      </c>
      <c r="AM58" s="44">
        <f t="shared" si="8"/>
        <v>3555.8692706250008</v>
      </c>
      <c r="AN58" s="204">
        <f t="shared" si="9"/>
        <v>18</v>
      </c>
    </row>
    <row r="59" spans="1:40" s="2" customFormat="1" ht="30" x14ac:dyDescent="0.2">
      <c r="A59" s="56">
        <v>39</v>
      </c>
      <c r="B59" s="59" t="s">
        <v>112</v>
      </c>
      <c r="C59" s="61" t="s">
        <v>166</v>
      </c>
      <c r="D59" s="23" t="s">
        <v>37</v>
      </c>
      <c r="E59" s="26">
        <f t="shared" si="10"/>
        <v>1</v>
      </c>
      <c r="F59" s="56" t="s">
        <v>176</v>
      </c>
      <c r="G59" s="23" t="s">
        <v>37</v>
      </c>
      <c r="H59" s="185" t="s">
        <v>359</v>
      </c>
      <c r="I59" s="129">
        <v>5.24</v>
      </c>
      <c r="J59" s="44">
        <v>17697</v>
      </c>
      <c r="K59" s="24">
        <v>1.75</v>
      </c>
      <c r="L59" s="44">
        <f t="shared" si="1"/>
        <v>162281.49000000002</v>
      </c>
      <c r="M59" s="25">
        <f t="shared" si="2"/>
        <v>16</v>
      </c>
      <c r="N59" s="56">
        <v>16</v>
      </c>
      <c r="O59" s="44">
        <f t="shared" si="3"/>
        <v>162281.49000000002</v>
      </c>
      <c r="P59" s="69"/>
      <c r="Q59" s="44"/>
      <c r="R59" s="25"/>
      <c r="S59" s="44">
        <f t="shared" si="4"/>
        <v>162281.49000000002</v>
      </c>
      <c r="T59" s="44">
        <f t="shared" si="5"/>
        <v>16228.149000000003</v>
      </c>
      <c r="U59" s="44"/>
      <c r="V59" s="72"/>
      <c r="W59" s="44">
        <f t="shared" si="11"/>
        <v>0</v>
      </c>
      <c r="X59" s="72"/>
      <c r="Y59" s="33"/>
      <c r="Z59" s="44"/>
      <c r="AA59" s="48">
        <f>3063*10</f>
        <v>30630</v>
      </c>
      <c r="AB59" s="44"/>
      <c r="AC59" s="44">
        <f t="shared" si="6"/>
        <v>48684.447000000007</v>
      </c>
      <c r="AD59" s="26"/>
      <c r="AE59" s="44"/>
      <c r="AF59" s="44"/>
      <c r="AG59" s="181"/>
      <c r="AH59" s="44"/>
      <c r="AI59" s="181"/>
      <c r="AJ59" s="44"/>
      <c r="AK59" s="44">
        <f>S59*50%</f>
        <v>81140.74500000001</v>
      </c>
      <c r="AL59" s="44">
        <f t="shared" si="7"/>
        <v>338964.83100000006</v>
      </c>
      <c r="AM59" s="44">
        <f t="shared" si="8"/>
        <v>4067.577972000001</v>
      </c>
      <c r="AN59" s="204">
        <f t="shared" si="9"/>
        <v>16</v>
      </c>
    </row>
    <row r="60" spans="1:40" s="2" customFormat="1" ht="30" x14ac:dyDescent="0.2">
      <c r="A60" s="56">
        <v>40</v>
      </c>
      <c r="B60" s="59" t="s">
        <v>113</v>
      </c>
      <c r="C60" s="61" t="s">
        <v>166</v>
      </c>
      <c r="D60" s="23" t="s">
        <v>37</v>
      </c>
      <c r="E60" s="26">
        <f t="shared" si="10"/>
        <v>1</v>
      </c>
      <c r="F60" s="56" t="s">
        <v>179</v>
      </c>
      <c r="G60" s="23" t="s">
        <v>69</v>
      </c>
      <c r="H60" s="185" t="s">
        <v>441</v>
      </c>
      <c r="I60" s="129">
        <v>4.6500000000000004</v>
      </c>
      <c r="J60" s="44">
        <v>17697</v>
      </c>
      <c r="K60" s="24">
        <v>1.75</v>
      </c>
      <c r="L60" s="44">
        <f t="shared" si="1"/>
        <v>144009.33750000002</v>
      </c>
      <c r="M60" s="25">
        <f t="shared" si="2"/>
        <v>16</v>
      </c>
      <c r="N60" s="56">
        <v>16</v>
      </c>
      <c r="O60" s="44">
        <f t="shared" si="3"/>
        <v>144009.33750000002</v>
      </c>
      <c r="P60" s="69"/>
      <c r="Q60" s="44"/>
      <c r="R60" s="25"/>
      <c r="S60" s="44">
        <f t="shared" si="4"/>
        <v>144009.33750000002</v>
      </c>
      <c r="T60" s="44">
        <f t="shared" si="5"/>
        <v>14400.933750000004</v>
      </c>
      <c r="U60" s="44"/>
      <c r="V60" s="72"/>
      <c r="W60" s="44">
        <f t="shared" si="11"/>
        <v>0</v>
      </c>
      <c r="X60" s="72"/>
      <c r="Y60" s="33"/>
      <c r="Z60" s="44"/>
      <c r="AA60" s="48"/>
      <c r="AB60" s="44"/>
      <c r="AC60" s="44">
        <f t="shared" si="6"/>
        <v>43202.801250000004</v>
      </c>
      <c r="AD60" s="26"/>
      <c r="AE60" s="44"/>
      <c r="AF60" s="44"/>
      <c r="AG60" s="181"/>
      <c r="AH60" s="181">
        <f>S60*35%</f>
        <v>50403.268125000002</v>
      </c>
      <c r="AI60" s="44"/>
      <c r="AJ60" s="44"/>
      <c r="AK60" s="44"/>
      <c r="AL60" s="44">
        <f t="shared" si="7"/>
        <v>252016.34062500004</v>
      </c>
      <c r="AM60" s="44">
        <f t="shared" si="8"/>
        <v>3024.1960875000004</v>
      </c>
      <c r="AN60" s="204">
        <f t="shared" si="9"/>
        <v>16</v>
      </c>
    </row>
    <row r="61" spans="1:40" s="2" customFormat="1" ht="38.25" x14ac:dyDescent="0.2">
      <c r="A61" s="56">
        <v>41</v>
      </c>
      <c r="B61" s="59" t="s">
        <v>114</v>
      </c>
      <c r="C61" s="61" t="s">
        <v>143</v>
      </c>
      <c r="D61" s="23" t="s">
        <v>37</v>
      </c>
      <c r="E61" s="26">
        <f t="shared" si="10"/>
        <v>1</v>
      </c>
      <c r="F61" s="56" t="s">
        <v>179</v>
      </c>
      <c r="G61" s="23" t="s">
        <v>69</v>
      </c>
      <c r="H61" s="185" t="s">
        <v>442</v>
      </c>
      <c r="I61" s="131">
        <v>4.79</v>
      </c>
      <c r="J61" s="44">
        <v>17697</v>
      </c>
      <c r="K61" s="24">
        <v>1.75</v>
      </c>
      <c r="L61" s="44">
        <f t="shared" si="1"/>
        <v>148345.10250000001</v>
      </c>
      <c r="M61" s="25">
        <f t="shared" si="2"/>
        <v>16</v>
      </c>
      <c r="N61" s="56"/>
      <c r="O61" s="44"/>
      <c r="P61" s="69">
        <v>16</v>
      </c>
      <c r="Q61" s="44">
        <f t="shared" si="14"/>
        <v>148345.10250000001</v>
      </c>
      <c r="R61" s="25"/>
      <c r="S61" s="44">
        <f t="shared" si="4"/>
        <v>148345.10250000001</v>
      </c>
      <c r="T61" s="44">
        <f t="shared" si="5"/>
        <v>14834.510250000001</v>
      </c>
      <c r="U61" s="44"/>
      <c r="V61" s="72"/>
      <c r="W61" s="44">
        <f t="shared" si="11"/>
        <v>0</v>
      </c>
      <c r="X61" s="72">
        <v>11</v>
      </c>
      <c r="Y61" s="33">
        <v>0.5</v>
      </c>
      <c r="Z61" s="44">
        <f t="shared" si="12"/>
        <v>6083.34375</v>
      </c>
      <c r="AA61" s="48"/>
      <c r="AB61" s="44"/>
      <c r="AC61" s="44">
        <f t="shared" si="6"/>
        <v>44503.530749999998</v>
      </c>
      <c r="AD61" s="26">
        <v>16</v>
      </c>
      <c r="AE61" s="44">
        <f t="shared" si="13"/>
        <v>7078.8</v>
      </c>
      <c r="AF61" s="44"/>
      <c r="AG61" s="181"/>
      <c r="AH61" s="181">
        <f>S61*35%</f>
        <v>51920.785875000001</v>
      </c>
      <c r="AI61" s="44"/>
      <c r="AJ61" s="44"/>
      <c r="AK61" s="44"/>
      <c r="AL61" s="44">
        <f t="shared" si="7"/>
        <v>272766.073125</v>
      </c>
      <c r="AM61" s="44">
        <f t="shared" si="8"/>
        <v>3273.1928775000001</v>
      </c>
      <c r="AN61" s="204">
        <f t="shared" si="9"/>
        <v>5</v>
      </c>
    </row>
    <row r="62" spans="1:40" s="2" customFormat="1" ht="38.25" x14ac:dyDescent="0.2">
      <c r="A62" s="56">
        <v>42</v>
      </c>
      <c r="B62" s="66" t="s">
        <v>115</v>
      </c>
      <c r="C62" s="61" t="s">
        <v>143</v>
      </c>
      <c r="D62" s="23" t="s">
        <v>37</v>
      </c>
      <c r="E62" s="26">
        <f t="shared" si="10"/>
        <v>1</v>
      </c>
      <c r="F62" s="56" t="s">
        <v>181</v>
      </c>
      <c r="G62" s="23" t="s">
        <v>70</v>
      </c>
      <c r="H62" s="185" t="s">
        <v>443</v>
      </c>
      <c r="I62" s="131">
        <v>4.74</v>
      </c>
      <c r="J62" s="44">
        <v>17697</v>
      </c>
      <c r="K62" s="24">
        <v>1.75</v>
      </c>
      <c r="L62" s="44">
        <f t="shared" si="1"/>
        <v>146796.61500000002</v>
      </c>
      <c r="M62" s="25">
        <f t="shared" si="2"/>
        <v>16</v>
      </c>
      <c r="N62" s="56">
        <v>12</v>
      </c>
      <c r="O62" s="44">
        <f t="shared" si="3"/>
        <v>110097.46125000002</v>
      </c>
      <c r="P62" s="69">
        <v>4</v>
      </c>
      <c r="Q62" s="44">
        <f t="shared" si="14"/>
        <v>36699.153750000005</v>
      </c>
      <c r="R62" s="25"/>
      <c r="S62" s="44">
        <f t="shared" si="4"/>
        <v>146796.61500000002</v>
      </c>
      <c r="T62" s="44">
        <f t="shared" si="5"/>
        <v>14679.661500000002</v>
      </c>
      <c r="U62" s="44"/>
      <c r="V62" s="72"/>
      <c r="W62" s="44">
        <f t="shared" si="11"/>
        <v>0</v>
      </c>
      <c r="X62" s="72"/>
      <c r="Y62" s="33"/>
      <c r="Z62" s="44"/>
      <c r="AA62" s="48"/>
      <c r="AB62" s="44"/>
      <c r="AC62" s="44">
        <f t="shared" si="6"/>
        <v>44038.984500000006</v>
      </c>
      <c r="AD62" s="26">
        <v>16</v>
      </c>
      <c r="AE62" s="44">
        <f t="shared" si="13"/>
        <v>7078.8</v>
      </c>
      <c r="AF62" s="44"/>
      <c r="AG62" s="181">
        <f>S62*30%</f>
        <v>44038.984500000006</v>
      </c>
      <c r="AH62" s="44"/>
      <c r="AI62" s="44"/>
      <c r="AJ62" s="44"/>
      <c r="AK62" s="44"/>
      <c r="AL62" s="44">
        <f t="shared" si="7"/>
        <v>256633.04550000004</v>
      </c>
      <c r="AM62" s="44">
        <f t="shared" si="8"/>
        <v>3079.5965460000007</v>
      </c>
      <c r="AN62" s="204">
        <f t="shared" si="9"/>
        <v>16</v>
      </c>
    </row>
    <row r="63" spans="1:40" s="2" customFormat="1" ht="38.25" x14ac:dyDescent="0.2">
      <c r="A63" s="56">
        <v>43</v>
      </c>
      <c r="B63" s="58" t="s">
        <v>116</v>
      </c>
      <c r="C63" s="61" t="s">
        <v>165</v>
      </c>
      <c r="D63" s="23" t="s">
        <v>37</v>
      </c>
      <c r="E63" s="26">
        <f t="shared" si="10"/>
        <v>0.375</v>
      </c>
      <c r="F63" s="56" t="s">
        <v>181</v>
      </c>
      <c r="G63" s="23" t="s">
        <v>70</v>
      </c>
      <c r="H63" s="185" t="s">
        <v>378</v>
      </c>
      <c r="I63" s="129">
        <v>4.74</v>
      </c>
      <c r="J63" s="44">
        <v>17697</v>
      </c>
      <c r="K63" s="24">
        <v>1.75</v>
      </c>
      <c r="L63" s="44">
        <f t="shared" si="1"/>
        <v>146796.61500000002</v>
      </c>
      <c r="M63" s="25">
        <f t="shared" si="2"/>
        <v>6</v>
      </c>
      <c r="N63" s="56"/>
      <c r="O63" s="44"/>
      <c r="P63" s="69">
        <v>6</v>
      </c>
      <c r="Q63" s="44">
        <f t="shared" si="14"/>
        <v>55048.730625000011</v>
      </c>
      <c r="R63" s="25"/>
      <c r="S63" s="44">
        <f t="shared" si="4"/>
        <v>55048.730625000011</v>
      </c>
      <c r="T63" s="44">
        <f t="shared" si="5"/>
        <v>5504.8730625000017</v>
      </c>
      <c r="U63" s="44"/>
      <c r="V63" s="72"/>
      <c r="W63" s="44">
        <f t="shared" si="11"/>
        <v>0</v>
      </c>
      <c r="X63" s="72"/>
      <c r="Y63" s="33"/>
      <c r="Z63" s="44"/>
      <c r="AA63" s="48"/>
      <c r="AB63" s="44"/>
      <c r="AC63" s="44">
        <f t="shared" si="6"/>
        <v>16514.619187500004</v>
      </c>
      <c r="AD63" s="26"/>
      <c r="AE63" s="44"/>
      <c r="AF63" s="44"/>
      <c r="AG63" s="181"/>
      <c r="AH63" s="44"/>
      <c r="AI63" s="44"/>
      <c r="AJ63" s="44"/>
      <c r="AK63" s="44"/>
      <c r="AL63" s="44">
        <f t="shared" si="7"/>
        <v>77068.222875000021</v>
      </c>
      <c r="AM63" s="44">
        <f t="shared" si="8"/>
        <v>924.81867450000016</v>
      </c>
      <c r="AN63" s="204">
        <f t="shared" si="9"/>
        <v>6</v>
      </c>
    </row>
    <row r="64" spans="1:40" s="2" customFormat="1" ht="38.25" x14ac:dyDescent="0.2">
      <c r="A64" s="56">
        <v>44</v>
      </c>
      <c r="B64" s="67" t="s">
        <v>117</v>
      </c>
      <c r="C64" s="61" t="s">
        <v>159</v>
      </c>
      <c r="D64" s="23" t="s">
        <v>37</v>
      </c>
      <c r="E64" s="26">
        <f t="shared" si="10"/>
        <v>1</v>
      </c>
      <c r="F64" s="56" t="s">
        <v>181</v>
      </c>
      <c r="G64" s="23" t="s">
        <v>70</v>
      </c>
      <c r="H64" s="185" t="s">
        <v>444</v>
      </c>
      <c r="I64" s="129">
        <v>4.66</v>
      </c>
      <c r="J64" s="44">
        <v>17697</v>
      </c>
      <c r="K64" s="24">
        <v>1.75</v>
      </c>
      <c r="L64" s="44">
        <f t="shared" si="1"/>
        <v>144319.035</v>
      </c>
      <c r="M64" s="25">
        <f t="shared" si="2"/>
        <v>16</v>
      </c>
      <c r="N64" s="56">
        <v>16</v>
      </c>
      <c r="O64" s="44">
        <f t="shared" si="3"/>
        <v>144319.035</v>
      </c>
      <c r="P64" s="69"/>
      <c r="Q64" s="44"/>
      <c r="R64" s="25"/>
      <c r="S64" s="44">
        <f t="shared" si="4"/>
        <v>144319.035</v>
      </c>
      <c r="T64" s="44">
        <f t="shared" si="5"/>
        <v>14431.9035</v>
      </c>
      <c r="U64" s="44"/>
      <c r="V64" s="72"/>
      <c r="W64" s="44">
        <f t="shared" si="11"/>
        <v>0</v>
      </c>
      <c r="X64" s="72">
        <v>16</v>
      </c>
      <c r="Y64" s="33">
        <v>0.25</v>
      </c>
      <c r="Z64" s="44">
        <f t="shared" si="12"/>
        <v>4424.25</v>
      </c>
      <c r="AA64" s="48">
        <f>3063*10</f>
        <v>30630</v>
      </c>
      <c r="AB64" s="44"/>
      <c r="AC64" s="44">
        <f t="shared" si="6"/>
        <v>43295.710500000001</v>
      </c>
      <c r="AD64" s="26">
        <v>16</v>
      </c>
      <c r="AE64" s="44">
        <f t="shared" si="13"/>
        <v>7078.8</v>
      </c>
      <c r="AF64" s="44"/>
      <c r="AG64" s="181">
        <f>+O64*30%</f>
        <v>43295.710500000001</v>
      </c>
      <c r="AH64" s="44"/>
      <c r="AI64" s="44"/>
      <c r="AJ64" s="44"/>
      <c r="AK64" s="44"/>
      <c r="AL64" s="44">
        <f t="shared" si="7"/>
        <v>287475.40950000001</v>
      </c>
      <c r="AM64" s="44">
        <f t="shared" si="8"/>
        <v>3449.7049139999999</v>
      </c>
      <c r="AN64" s="204">
        <f t="shared" si="9"/>
        <v>0</v>
      </c>
    </row>
    <row r="65" spans="1:40" s="2" customFormat="1" ht="30" x14ac:dyDescent="0.2">
      <c r="A65" s="56">
        <v>45</v>
      </c>
      <c r="B65" s="59" t="s">
        <v>118</v>
      </c>
      <c r="C65" s="61" t="s">
        <v>163</v>
      </c>
      <c r="D65" s="23" t="s">
        <v>37</v>
      </c>
      <c r="E65" s="26">
        <f t="shared" si="10"/>
        <v>0.9375</v>
      </c>
      <c r="F65" s="56" t="s">
        <v>180</v>
      </c>
      <c r="G65" s="23"/>
      <c r="H65" s="185" t="s">
        <v>392</v>
      </c>
      <c r="I65" s="129">
        <v>4.59</v>
      </c>
      <c r="J65" s="44">
        <v>17697</v>
      </c>
      <c r="K65" s="24">
        <v>1.75</v>
      </c>
      <c r="L65" s="44">
        <f t="shared" si="1"/>
        <v>142151.1525</v>
      </c>
      <c r="M65" s="25">
        <f t="shared" si="2"/>
        <v>15</v>
      </c>
      <c r="N65" s="56"/>
      <c r="O65" s="44"/>
      <c r="P65" s="69">
        <v>15</v>
      </c>
      <c r="Q65" s="44">
        <f t="shared" si="14"/>
        <v>133266.70546875001</v>
      </c>
      <c r="R65" s="25"/>
      <c r="S65" s="44">
        <f t="shared" si="4"/>
        <v>133266.70546875001</v>
      </c>
      <c r="T65" s="44">
        <f t="shared" si="5"/>
        <v>13326.670546875001</v>
      </c>
      <c r="U65" s="44"/>
      <c r="V65" s="72"/>
      <c r="W65" s="44">
        <f t="shared" si="11"/>
        <v>0</v>
      </c>
      <c r="X65" s="72"/>
      <c r="Y65" s="33"/>
      <c r="Z65" s="44"/>
      <c r="AA65" s="48"/>
      <c r="AB65" s="44"/>
      <c r="AC65" s="44">
        <f t="shared" si="6"/>
        <v>39980.011640625002</v>
      </c>
      <c r="AD65" s="26"/>
      <c r="AE65" s="44"/>
      <c r="AF65" s="44"/>
      <c r="AG65" s="181"/>
      <c r="AH65" s="44"/>
      <c r="AI65" s="44"/>
      <c r="AJ65" s="44"/>
      <c r="AK65" s="44"/>
      <c r="AL65" s="44">
        <f t="shared" si="7"/>
        <v>186573.38765625001</v>
      </c>
      <c r="AM65" s="44">
        <f t="shared" si="8"/>
        <v>2238.8806518749998</v>
      </c>
      <c r="AN65" s="204">
        <f t="shared" si="9"/>
        <v>15</v>
      </c>
    </row>
    <row r="66" spans="1:40" s="2" customFormat="1" ht="38.25" x14ac:dyDescent="0.2">
      <c r="A66" s="56">
        <v>46</v>
      </c>
      <c r="B66" s="59" t="s">
        <v>119</v>
      </c>
      <c r="C66" s="61" t="s">
        <v>165</v>
      </c>
      <c r="D66" s="23" t="s">
        <v>37</v>
      </c>
      <c r="E66" s="26">
        <f t="shared" si="10"/>
        <v>1.125</v>
      </c>
      <c r="F66" s="56" t="s">
        <v>181</v>
      </c>
      <c r="G66" s="23" t="s">
        <v>70</v>
      </c>
      <c r="H66" s="185" t="s">
        <v>445</v>
      </c>
      <c r="I66" s="129">
        <v>4.59</v>
      </c>
      <c r="J66" s="44">
        <v>17697</v>
      </c>
      <c r="K66" s="24">
        <v>1.75</v>
      </c>
      <c r="L66" s="44">
        <f t="shared" si="1"/>
        <v>142151.1525</v>
      </c>
      <c r="M66" s="25">
        <f t="shared" si="2"/>
        <v>18</v>
      </c>
      <c r="N66" s="56">
        <v>18</v>
      </c>
      <c r="O66" s="44">
        <f t="shared" si="3"/>
        <v>159920.04656250001</v>
      </c>
      <c r="P66" s="69"/>
      <c r="Q66" s="44"/>
      <c r="R66" s="25"/>
      <c r="S66" s="44">
        <f t="shared" si="4"/>
        <v>159920.04656250001</v>
      </c>
      <c r="T66" s="44">
        <f t="shared" si="5"/>
        <v>15992.004656250001</v>
      </c>
      <c r="U66" s="44"/>
      <c r="V66" s="72"/>
      <c r="W66" s="44">
        <f t="shared" si="11"/>
        <v>0</v>
      </c>
      <c r="X66" s="72"/>
      <c r="Y66" s="33"/>
      <c r="Z66" s="44"/>
      <c r="AA66" s="48"/>
      <c r="AB66" s="44"/>
      <c r="AC66" s="44">
        <f t="shared" si="6"/>
        <v>47976.013968749998</v>
      </c>
      <c r="AD66" s="26"/>
      <c r="AE66" s="44"/>
      <c r="AF66" s="44"/>
      <c r="AG66" s="181"/>
      <c r="AH66" s="44"/>
      <c r="AI66" s="44"/>
      <c r="AJ66" s="44"/>
      <c r="AK66" s="44"/>
      <c r="AL66" s="44">
        <f t="shared" si="7"/>
        <v>223888.0651875</v>
      </c>
      <c r="AM66" s="44">
        <f t="shared" si="8"/>
        <v>2686.6567822500001</v>
      </c>
      <c r="AN66" s="204">
        <f t="shared" si="9"/>
        <v>18</v>
      </c>
    </row>
    <row r="67" spans="1:40" s="2" customFormat="1" ht="38.25" x14ac:dyDescent="0.2">
      <c r="A67" s="56">
        <v>47</v>
      </c>
      <c r="B67" s="59" t="s">
        <v>120</v>
      </c>
      <c r="C67" s="61" t="s">
        <v>158</v>
      </c>
      <c r="D67" s="23" t="s">
        <v>37</v>
      </c>
      <c r="E67" s="26">
        <f t="shared" si="10"/>
        <v>1</v>
      </c>
      <c r="F67" s="56" t="s">
        <v>179</v>
      </c>
      <c r="G67" s="23" t="s">
        <v>69</v>
      </c>
      <c r="H67" s="185" t="s">
        <v>446</v>
      </c>
      <c r="I67" s="129">
        <v>4.6500000000000004</v>
      </c>
      <c r="J67" s="44">
        <v>17697</v>
      </c>
      <c r="K67" s="24">
        <v>1.75</v>
      </c>
      <c r="L67" s="44">
        <f t="shared" si="1"/>
        <v>144009.33750000002</v>
      </c>
      <c r="M67" s="25">
        <f t="shared" si="2"/>
        <v>16</v>
      </c>
      <c r="N67" s="56">
        <v>16</v>
      </c>
      <c r="O67" s="44">
        <f t="shared" si="3"/>
        <v>144009.33750000002</v>
      </c>
      <c r="P67" s="69"/>
      <c r="Q67" s="44"/>
      <c r="R67" s="25"/>
      <c r="S67" s="44">
        <f t="shared" si="4"/>
        <v>144009.33750000002</v>
      </c>
      <c r="T67" s="44">
        <f t="shared" si="5"/>
        <v>14400.933750000004</v>
      </c>
      <c r="U67" s="44"/>
      <c r="V67" s="72"/>
      <c r="W67" s="44">
        <f t="shared" si="11"/>
        <v>0</v>
      </c>
      <c r="X67" s="72"/>
      <c r="Y67" s="33"/>
      <c r="Z67" s="44"/>
      <c r="AA67" s="48"/>
      <c r="AB67" s="44"/>
      <c r="AC67" s="44">
        <f t="shared" si="6"/>
        <v>43202.801250000004</v>
      </c>
      <c r="AD67" s="26"/>
      <c r="AE67" s="44"/>
      <c r="AF67" s="44"/>
      <c r="AG67" s="181"/>
      <c r="AH67" s="181">
        <f>S67*35%</f>
        <v>50403.268125000002</v>
      </c>
      <c r="AI67" s="44"/>
      <c r="AJ67" s="44"/>
      <c r="AK67" s="44"/>
      <c r="AL67" s="44">
        <f t="shared" si="7"/>
        <v>252016.34062500004</v>
      </c>
      <c r="AM67" s="44">
        <f t="shared" si="8"/>
        <v>3024.1960875000004</v>
      </c>
      <c r="AN67" s="204">
        <f t="shared" si="9"/>
        <v>16</v>
      </c>
    </row>
    <row r="68" spans="1:40" s="2" customFormat="1" ht="30" x14ac:dyDescent="0.2">
      <c r="A68" s="56">
        <v>48</v>
      </c>
      <c r="B68" s="58" t="s">
        <v>121</v>
      </c>
      <c r="C68" s="61" t="s">
        <v>160</v>
      </c>
      <c r="D68" s="23" t="s">
        <v>37</v>
      </c>
      <c r="E68" s="26">
        <f t="shared" si="10"/>
        <v>0.5</v>
      </c>
      <c r="F68" s="56" t="s">
        <v>180</v>
      </c>
      <c r="G68" s="23"/>
      <c r="H68" s="185" t="s">
        <v>358</v>
      </c>
      <c r="I68" s="129">
        <v>4.0999999999999996</v>
      </c>
      <c r="J68" s="44">
        <v>17697</v>
      </c>
      <c r="K68" s="24">
        <v>1.75</v>
      </c>
      <c r="L68" s="44">
        <f t="shared" si="1"/>
        <v>126975.97499999999</v>
      </c>
      <c r="M68" s="25">
        <f t="shared" si="2"/>
        <v>8</v>
      </c>
      <c r="N68" s="56">
        <v>8</v>
      </c>
      <c r="O68" s="44">
        <f t="shared" si="3"/>
        <v>63487.987499999996</v>
      </c>
      <c r="P68" s="69"/>
      <c r="Q68" s="44"/>
      <c r="R68" s="25"/>
      <c r="S68" s="44">
        <f t="shared" si="4"/>
        <v>63487.987499999996</v>
      </c>
      <c r="T68" s="44">
        <f t="shared" si="5"/>
        <v>6348.7987499999999</v>
      </c>
      <c r="U68" s="44"/>
      <c r="V68" s="72"/>
      <c r="W68" s="44">
        <f t="shared" si="11"/>
        <v>0</v>
      </c>
      <c r="X68" s="72">
        <v>4</v>
      </c>
      <c r="Y68" s="33">
        <v>0.5</v>
      </c>
      <c r="Z68" s="44">
        <f t="shared" si="12"/>
        <v>2212.125</v>
      </c>
      <c r="AA68" s="48"/>
      <c r="AB68" s="44"/>
      <c r="AC68" s="44">
        <f t="shared" si="6"/>
        <v>19046.396249999998</v>
      </c>
      <c r="AD68" s="26">
        <v>8</v>
      </c>
      <c r="AE68" s="44">
        <f t="shared" si="13"/>
        <v>3539.4</v>
      </c>
      <c r="AF68" s="44"/>
      <c r="AG68" s="181"/>
      <c r="AH68" s="44"/>
      <c r="AI68" s="44"/>
      <c r="AJ68" s="44"/>
      <c r="AK68" s="44"/>
      <c r="AL68" s="44">
        <f t="shared" si="7"/>
        <v>94634.70749999999</v>
      </c>
      <c r="AM68" s="44">
        <f t="shared" si="8"/>
        <v>1135.6164899999997</v>
      </c>
      <c r="AN68" s="204">
        <f t="shared" si="9"/>
        <v>4</v>
      </c>
    </row>
    <row r="69" spans="1:40" s="2" customFormat="1" ht="38.25" x14ac:dyDescent="0.2">
      <c r="A69" s="56">
        <v>49</v>
      </c>
      <c r="B69" s="58" t="s">
        <v>122</v>
      </c>
      <c r="C69" s="61" t="s">
        <v>158</v>
      </c>
      <c r="D69" s="23" t="s">
        <v>37</v>
      </c>
      <c r="E69" s="26">
        <f t="shared" si="10"/>
        <v>1.0625</v>
      </c>
      <c r="F69" s="56" t="s">
        <v>181</v>
      </c>
      <c r="G69" s="23" t="s">
        <v>70</v>
      </c>
      <c r="H69" s="185" t="s">
        <v>447</v>
      </c>
      <c r="I69" s="129">
        <v>4.8099999999999996</v>
      </c>
      <c r="J69" s="44">
        <v>17697</v>
      </c>
      <c r="K69" s="24">
        <v>1.75</v>
      </c>
      <c r="L69" s="44">
        <f t="shared" si="1"/>
        <v>148964.4975</v>
      </c>
      <c r="M69" s="25">
        <f t="shared" si="2"/>
        <v>17</v>
      </c>
      <c r="N69" s="56">
        <v>17</v>
      </c>
      <c r="O69" s="44">
        <f t="shared" si="3"/>
        <v>158274.77859375</v>
      </c>
      <c r="P69" s="69"/>
      <c r="Q69" s="44"/>
      <c r="R69" s="25"/>
      <c r="S69" s="44">
        <f t="shared" si="4"/>
        <v>158274.77859375</v>
      </c>
      <c r="T69" s="44">
        <f t="shared" si="5"/>
        <v>15827.477859375002</v>
      </c>
      <c r="U69" s="44"/>
      <c r="V69" s="72"/>
      <c r="W69" s="44">
        <f t="shared" si="11"/>
        <v>0</v>
      </c>
      <c r="X69" s="72"/>
      <c r="Y69" s="33"/>
      <c r="Z69" s="44"/>
      <c r="AA69" s="48"/>
      <c r="AB69" s="44"/>
      <c r="AC69" s="44">
        <f t="shared" si="6"/>
        <v>47482.433578124997</v>
      </c>
      <c r="AD69" s="26">
        <v>17</v>
      </c>
      <c r="AE69" s="44">
        <f t="shared" si="13"/>
        <v>7521.2250000000004</v>
      </c>
      <c r="AF69" s="44">
        <f>SUM(J69*0.2)</f>
        <v>3539.4</v>
      </c>
      <c r="AG69" s="181">
        <f>S69*30%</f>
        <v>47482.433578124997</v>
      </c>
      <c r="AH69" s="44"/>
      <c r="AI69" s="44"/>
      <c r="AJ69" s="44"/>
      <c r="AK69" s="44"/>
      <c r="AL69" s="44">
        <f t="shared" si="7"/>
        <v>280127.74860937498</v>
      </c>
      <c r="AM69" s="44">
        <f t="shared" si="8"/>
        <v>3361.5329833124997</v>
      </c>
      <c r="AN69" s="204">
        <f t="shared" si="9"/>
        <v>17</v>
      </c>
    </row>
    <row r="70" spans="1:40" s="2" customFormat="1" ht="38.25" x14ac:dyDescent="0.2">
      <c r="A70" s="56">
        <v>50</v>
      </c>
      <c r="B70" s="58" t="s">
        <v>123</v>
      </c>
      <c r="C70" s="61" t="s">
        <v>158</v>
      </c>
      <c r="D70" s="23" t="s">
        <v>37</v>
      </c>
      <c r="E70" s="26">
        <f t="shared" si="10"/>
        <v>1.125</v>
      </c>
      <c r="F70" s="56" t="s">
        <v>181</v>
      </c>
      <c r="G70" s="23" t="s">
        <v>70</v>
      </c>
      <c r="H70" s="185" t="s">
        <v>385</v>
      </c>
      <c r="I70" s="129">
        <v>4.74</v>
      </c>
      <c r="J70" s="44">
        <v>17697</v>
      </c>
      <c r="K70" s="24">
        <v>1.75</v>
      </c>
      <c r="L70" s="44">
        <f t="shared" si="1"/>
        <v>146796.61500000002</v>
      </c>
      <c r="M70" s="25">
        <f t="shared" si="2"/>
        <v>18</v>
      </c>
      <c r="N70" s="56"/>
      <c r="O70" s="44"/>
      <c r="P70" s="69">
        <v>18</v>
      </c>
      <c r="Q70" s="44">
        <f t="shared" si="14"/>
        <v>165146.19187500002</v>
      </c>
      <c r="R70" s="25"/>
      <c r="S70" s="44">
        <f t="shared" si="4"/>
        <v>165146.19187500002</v>
      </c>
      <c r="T70" s="44">
        <f t="shared" si="5"/>
        <v>16514.619187500004</v>
      </c>
      <c r="U70" s="44"/>
      <c r="V70" s="72"/>
      <c r="W70" s="44">
        <f t="shared" si="11"/>
        <v>0</v>
      </c>
      <c r="X70" s="72"/>
      <c r="Y70" s="33"/>
      <c r="Z70" s="44"/>
      <c r="AA70" s="48"/>
      <c r="AB70" s="44"/>
      <c r="AC70" s="44">
        <f t="shared" si="6"/>
        <v>49543.857562500001</v>
      </c>
      <c r="AD70" s="26">
        <v>18</v>
      </c>
      <c r="AE70" s="44">
        <f t="shared" si="13"/>
        <v>7963.6500000000005</v>
      </c>
      <c r="AF70" s="44"/>
      <c r="AG70" s="181">
        <f>S70*30%</f>
        <v>49543.857562500001</v>
      </c>
      <c r="AH70" s="44"/>
      <c r="AI70" s="44"/>
      <c r="AJ70" s="44"/>
      <c r="AK70" s="44"/>
      <c r="AL70" s="44">
        <f t="shared" si="7"/>
        <v>288712.17618750001</v>
      </c>
      <c r="AM70" s="44">
        <f t="shared" si="8"/>
        <v>3464.5461142500003</v>
      </c>
      <c r="AN70" s="204">
        <f t="shared" si="9"/>
        <v>18</v>
      </c>
    </row>
    <row r="71" spans="1:40" s="2" customFormat="1" ht="38.25" x14ac:dyDescent="0.2">
      <c r="A71" s="56">
        <v>51</v>
      </c>
      <c r="B71" s="60" t="s">
        <v>124</v>
      </c>
      <c r="C71" s="61" t="s">
        <v>158</v>
      </c>
      <c r="D71" s="23" t="s">
        <v>37</v>
      </c>
      <c r="E71" s="26">
        <f t="shared" si="10"/>
        <v>0.5</v>
      </c>
      <c r="F71" s="56" t="s">
        <v>181</v>
      </c>
      <c r="G71" s="23" t="s">
        <v>70</v>
      </c>
      <c r="H71" s="185" t="s">
        <v>369</v>
      </c>
      <c r="I71" s="129">
        <v>4.51</v>
      </c>
      <c r="J71" s="44">
        <v>17697</v>
      </c>
      <c r="K71" s="24">
        <v>1.75</v>
      </c>
      <c r="L71" s="44">
        <f t="shared" si="1"/>
        <v>139673.57249999998</v>
      </c>
      <c r="M71" s="25">
        <f t="shared" si="2"/>
        <v>8</v>
      </c>
      <c r="N71" s="56">
        <v>8</v>
      </c>
      <c r="O71" s="44">
        <f t="shared" si="3"/>
        <v>69836.78624999999</v>
      </c>
      <c r="P71" s="69"/>
      <c r="Q71" s="44"/>
      <c r="R71" s="25"/>
      <c r="S71" s="44">
        <f t="shared" si="4"/>
        <v>69836.78624999999</v>
      </c>
      <c r="T71" s="44">
        <f t="shared" si="5"/>
        <v>6983.6786249999996</v>
      </c>
      <c r="U71" s="44"/>
      <c r="V71" s="72"/>
      <c r="W71" s="44">
        <f t="shared" si="11"/>
        <v>0</v>
      </c>
      <c r="X71" s="72"/>
      <c r="Y71" s="33"/>
      <c r="Z71" s="44"/>
      <c r="AA71" s="48"/>
      <c r="AB71" s="44">
        <f>SUM(J71*2)</f>
        <v>35394</v>
      </c>
      <c r="AC71" s="44">
        <f t="shared" si="6"/>
        <v>20951.035874999998</v>
      </c>
      <c r="AD71" s="26">
        <v>8</v>
      </c>
      <c r="AE71" s="44">
        <f t="shared" si="13"/>
        <v>3539.4</v>
      </c>
      <c r="AF71" s="44"/>
      <c r="AG71" s="181">
        <f>+O71*30%</f>
        <v>20951.035874999998</v>
      </c>
      <c r="AH71" s="44"/>
      <c r="AI71" s="44"/>
      <c r="AJ71" s="44"/>
      <c r="AK71" s="44"/>
      <c r="AL71" s="44">
        <f t="shared" si="7"/>
        <v>157655.93662499997</v>
      </c>
      <c r="AM71" s="44">
        <f t="shared" si="8"/>
        <v>1891.8712394999998</v>
      </c>
      <c r="AN71" s="204">
        <f t="shared" si="9"/>
        <v>8</v>
      </c>
    </row>
    <row r="72" spans="1:40" s="2" customFormat="1" ht="38.25" x14ac:dyDescent="0.2">
      <c r="A72" s="56">
        <v>52</v>
      </c>
      <c r="B72" s="58" t="s">
        <v>125</v>
      </c>
      <c r="C72" s="61" t="s">
        <v>167</v>
      </c>
      <c r="D72" s="23" t="s">
        <v>37</v>
      </c>
      <c r="E72" s="26">
        <f t="shared" si="10"/>
        <v>1</v>
      </c>
      <c r="F72" s="56" t="s">
        <v>181</v>
      </c>
      <c r="G72" s="23" t="s">
        <v>70</v>
      </c>
      <c r="H72" s="192" t="s">
        <v>448</v>
      </c>
      <c r="I72" s="132">
        <v>4.4400000000000004</v>
      </c>
      <c r="J72" s="44">
        <v>17697</v>
      </c>
      <c r="K72" s="24">
        <v>1.75</v>
      </c>
      <c r="L72" s="44">
        <f t="shared" si="1"/>
        <v>137505.69</v>
      </c>
      <c r="M72" s="25">
        <f t="shared" si="2"/>
        <v>16</v>
      </c>
      <c r="N72" s="56">
        <v>16</v>
      </c>
      <c r="O72" s="44">
        <f t="shared" si="3"/>
        <v>137505.69</v>
      </c>
      <c r="P72" s="69"/>
      <c r="Q72" s="44"/>
      <c r="R72" s="25"/>
      <c r="S72" s="44">
        <f t="shared" si="4"/>
        <v>137505.69</v>
      </c>
      <c r="T72" s="44">
        <f t="shared" si="5"/>
        <v>13750.569000000001</v>
      </c>
      <c r="U72" s="44"/>
      <c r="V72" s="72"/>
      <c r="W72" s="44">
        <f t="shared" si="11"/>
        <v>0</v>
      </c>
      <c r="X72" s="72">
        <v>16</v>
      </c>
      <c r="Y72" s="33">
        <v>0.5</v>
      </c>
      <c r="Z72" s="44">
        <f t="shared" si="12"/>
        <v>8848.5</v>
      </c>
      <c r="AA72" s="48"/>
      <c r="AB72" s="44"/>
      <c r="AC72" s="44">
        <f t="shared" si="6"/>
        <v>41251.707000000002</v>
      </c>
      <c r="AD72" s="26">
        <v>16</v>
      </c>
      <c r="AE72" s="44">
        <f t="shared" si="13"/>
        <v>7078.8</v>
      </c>
      <c r="AF72" s="44"/>
      <c r="AG72" s="181">
        <f>+O72*30%</f>
        <v>41251.707000000002</v>
      </c>
      <c r="AH72" s="44"/>
      <c r="AI72" s="44"/>
      <c r="AJ72" s="44"/>
      <c r="AK72" s="44"/>
      <c r="AL72" s="44">
        <f t="shared" si="7"/>
        <v>249686.973</v>
      </c>
      <c r="AM72" s="44">
        <f t="shared" si="8"/>
        <v>2996.2436760000001</v>
      </c>
      <c r="AN72" s="204">
        <f t="shared" si="9"/>
        <v>0</v>
      </c>
    </row>
    <row r="73" spans="1:40" s="2" customFormat="1" ht="51" x14ac:dyDescent="0.2">
      <c r="A73" s="56">
        <v>53</v>
      </c>
      <c r="B73" s="61" t="s">
        <v>126</v>
      </c>
      <c r="C73" s="61" t="s">
        <v>168</v>
      </c>
      <c r="D73" s="23" t="s">
        <v>37</v>
      </c>
      <c r="E73" s="26">
        <f t="shared" si="10"/>
        <v>1</v>
      </c>
      <c r="F73" s="56" t="s">
        <v>176</v>
      </c>
      <c r="G73" s="23" t="s">
        <v>37</v>
      </c>
      <c r="H73" s="192" t="s">
        <v>449</v>
      </c>
      <c r="I73" s="132">
        <v>5.24</v>
      </c>
      <c r="J73" s="44">
        <v>17697</v>
      </c>
      <c r="K73" s="24">
        <v>1.75</v>
      </c>
      <c r="L73" s="44">
        <f t="shared" si="1"/>
        <v>162281.49000000002</v>
      </c>
      <c r="M73" s="25">
        <f t="shared" si="2"/>
        <v>16</v>
      </c>
      <c r="N73" s="56">
        <v>16</v>
      </c>
      <c r="O73" s="44">
        <f t="shared" si="3"/>
        <v>162281.49000000002</v>
      </c>
      <c r="P73" s="69"/>
      <c r="Q73" s="44"/>
      <c r="R73" s="25"/>
      <c r="S73" s="44">
        <f t="shared" si="4"/>
        <v>162281.49000000002</v>
      </c>
      <c r="T73" s="44">
        <f t="shared" si="5"/>
        <v>16228.149000000003</v>
      </c>
      <c r="U73" s="44"/>
      <c r="V73" s="72"/>
      <c r="W73" s="44">
        <f t="shared" si="11"/>
        <v>0</v>
      </c>
      <c r="X73" s="72"/>
      <c r="Y73" s="33"/>
      <c r="Z73" s="44"/>
      <c r="AA73" s="48"/>
      <c r="AB73" s="44"/>
      <c r="AC73" s="44">
        <f t="shared" si="6"/>
        <v>48684.447000000007</v>
      </c>
      <c r="AD73" s="26"/>
      <c r="AE73" s="44"/>
      <c r="AF73" s="44"/>
      <c r="AG73" s="181"/>
      <c r="AH73" s="44"/>
      <c r="AI73" s="44"/>
      <c r="AJ73" s="44">
        <f>S73*50%</f>
        <v>81140.74500000001</v>
      </c>
      <c r="AK73" s="44"/>
      <c r="AL73" s="44">
        <f t="shared" si="7"/>
        <v>308334.83100000001</v>
      </c>
      <c r="AM73" s="44">
        <f t="shared" si="8"/>
        <v>3700.0179720000001</v>
      </c>
      <c r="AN73" s="204">
        <f t="shared" si="9"/>
        <v>16</v>
      </c>
    </row>
    <row r="74" spans="1:40" s="2" customFormat="1" ht="38.25" x14ac:dyDescent="0.2">
      <c r="A74" s="56">
        <v>54</v>
      </c>
      <c r="B74" s="61" t="s">
        <v>127</v>
      </c>
      <c r="C74" s="61" t="s">
        <v>159</v>
      </c>
      <c r="D74" s="23" t="s">
        <v>37</v>
      </c>
      <c r="E74" s="26">
        <f t="shared" si="10"/>
        <v>0.5</v>
      </c>
      <c r="F74" s="56" t="s">
        <v>176</v>
      </c>
      <c r="G74" s="23" t="s">
        <v>37</v>
      </c>
      <c r="H74" s="192" t="s">
        <v>362</v>
      </c>
      <c r="I74" s="132">
        <v>5.08</v>
      </c>
      <c r="J74" s="44">
        <v>17697</v>
      </c>
      <c r="K74" s="24">
        <v>1.75</v>
      </c>
      <c r="L74" s="44">
        <f t="shared" si="1"/>
        <v>157326.33000000002</v>
      </c>
      <c r="M74" s="25">
        <f t="shared" si="2"/>
        <v>8</v>
      </c>
      <c r="N74" s="56">
        <v>8</v>
      </c>
      <c r="O74" s="44">
        <f t="shared" si="3"/>
        <v>78663.165000000008</v>
      </c>
      <c r="P74" s="69"/>
      <c r="Q74" s="44"/>
      <c r="R74" s="25"/>
      <c r="S74" s="44">
        <f t="shared" si="4"/>
        <v>78663.165000000008</v>
      </c>
      <c r="T74" s="44">
        <f t="shared" si="5"/>
        <v>7866.3165000000008</v>
      </c>
      <c r="U74" s="44"/>
      <c r="V74" s="72"/>
      <c r="W74" s="44">
        <f t="shared" si="11"/>
        <v>0</v>
      </c>
      <c r="X74" s="72"/>
      <c r="Y74" s="33"/>
      <c r="Z74" s="44"/>
      <c r="AA74" s="48">
        <f>3063*10</f>
        <v>30630</v>
      </c>
      <c r="AB74" s="44"/>
      <c r="AC74" s="44">
        <f t="shared" si="6"/>
        <v>23598.949500000002</v>
      </c>
      <c r="AD74" s="26">
        <v>8</v>
      </c>
      <c r="AE74" s="44">
        <f t="shared" si="13"/>
        <v>3539.4</v>
      </c>
      <c r="AF74" s="44"/>
      <c r="AG74" s="181"/>
      <c r="AH74" s="44"/>
      <c r="AI74" s="44"/>
      <c r="AJ74" s="44"/>
      <c r="AK74" s="44"/>
      <c r="AL74" s="44">
        <f t="shared" si="7"/>
        <v>144297.83100000001</v>
      </c>
      <c r="AM74" s="44">
        <f t="shared" si="8"/>
        <v>1731.5739720000001</v>
      </c>
      <c r="AN74" s="204">
        <f t="shared" si="9"/>
        <v>8</v>
      </c>
    </row>
    <row r="75" spans="1:40" s="2" customFormat="1" ht="38.25" x14ac:dyDescent="0.2">
      <c r="A75" s="56">
        <v>55</v>
      </c>
      <c r="B75" s="61" t="s">
        <v>128</v>
      </c>
      <c r="C75" s="199" t="s">
        <v>169</v>
      </c>
      <c r="D75" s="23" t="s">
        <v>37</v>
      </c>
      <c r="E75" s="26">
        <f t="shared" si="10"/>
        <v>1.25</v>
      </c>
      <c r="F75" s="56" t="s">
        <v>176</v>
      </c>
      <c r="G75" s="23" t="s">
        <v>37</v>
      </c>
      <c r="H75" s="192" t="s">
        <v>443</v>
      </c>
      <c r="I75" s="132">
        <v>5.01</v>
      </c>
      <c r="J75" s="44">
        <v>17697</v>
      </c>
      <c r="K75" s="24">
        <v>1.75</v>
      </c>
      <c r="L75" s="44">
        <f t="shared" si="1"/>
        <v>155158.44749999998</v>
      </c>
      <c r="M75" s="25">
        <f t="shared" si="2"/>
        <v>20</v>
      </c>
      <c r="N75" s="56">
        <v>20</v>
      </c>
      <c r="O75" s="44">
        <f t="shared" si="3"/>
        <v>193948.05937499998</v>
      </c>
      <c r="P75" s="69"/>
      <c r="Q75" s="44"/>
      <c r="R75" s="25"/>
      <c r="S75" s="44">
        <f t="shared" si="4"/>
        <v>193948.05937499998</v>
      </c>
      <c r="T75" s="44">
        <f t="shared" si="5"/>
        <v>19394.805937499998</v>
      </c>
      <c r="U75" s="44"/>
      <c r="V75" s="72"/>
      <c r="W75" s="44">
        <f t="shared" si="11"/>
        <v>0</v>
      </c>
      <c r="X75" s="72"/>
      <c r="Y75" s="33"/>
      <c r="Z75" s="44"/>
      <c r="AA75" s="48"/>
      <c r="AB75" s="44"/>
      <c r="AC75" s="44">
        <f t="shared" si="6"/>
        <v>58184.417812499996</v>
      </c>
      <c r="AD75" s="26">
        <v>20</v>
      </c>
      <c r="AE75" s="44">
        <f t="shared" si="13"/>
        <v>8848.5</v>
      </c>
      <c r="AF75" s="44"/>
      <c r="AG75" s="181"/>
      <c r="AH75" s="44"/>
      <c r="AI75" s="44"/>
      <c r="AJ75" s="44">
        <f>S75*50%</f>
        <v>96974.029687499991</v>
      </c>
      <c r="AK75" s="44"/>
      <c r="AL75" s="44">
        <f t="shared" si="7"/>
        <v>377349.81281249993</v>
      </c>
      <c r="AM75" s="44">
        <f t="shared" si="8"/>
        <v>4528.1977537499988</v>
      </c>
      <c r="AN75" s="204">
        <f t="shared" si="9"/>
        <v>20</v>
      </c>
    </row>
    <row r="76" spans="1:40" s="2" customFormat="1" ht="38.25" x14ac:dyDescent="0.2">
      <c r="A76" s="56">
        <v>56</v>
      </c>
      <c r="B76" s="61" t="s">
        <v>129</v>
      </c>
      <c r="C76" s="61" t="s">
        <v>169</v>
      </c>
      <c r="D76" s="23" t="s">
        <v>37</v>
      </c>
      <c r="E76" s="26">
        <f t="shared" si="10"/>
        <v>1</v>
      </c>
      <c r="F76" s="56" t="s">
        <v>179</v>
      </c>
      <c r="G76" s="23" t="s">
        <v>69</v>
      </c>
      <c r="H76" s="192" t="s">
        <v>402</v>
      </c>
      <c r="I76" s="132">
        <v>4.8600000000000003</v>
      </c>
      <c r="J76" s="44">
        <v>17697</v>
      </c>
      <c r="K76" s="24">
        <v>1.75</v>
      </c>
      <c r="L76" s="44">
        <f t="shared" si="1"/>
        <v>150512.98500000002</v>
      </c>
      <c r="M76" s="25">
        <f t="shared" si="2"/>
        <v>16</v>
      </c>
      <c r="N76" s="56">
        <v>16</v>
      </c>
      <c r="O76" s="44">
        <f t="shared" si="3"/>
        <v>150512.98500000002</v>
      </c>
      <c r="P76" s="69"/>
      <c r="Q76" s="44"/>
      <c r="R76" s="25"/>
      <c r="S76" s="44">
        <f t="shared" si="4"/>
        <v>150512.98500000002</v>
      </c>
      <c r="T76" s="44">
        <f t="shared" si="5"/>
        <v>15051.298500000003</v>
      </c>
      <c r="U76" s="44"/>
      <c r="V76" s="72"/>
      <c r="W76" s="44">
        <f t="shared" si="11"/>
        <v>0</v>
      </c>
      <c r="X76" s="72">
        <v>16</v>
      </c>
      <c r="Y76" s="33">
        <v>0.5</v>
      </c>
      <c r="Z76" s="44">
        <f t="shared" si="12"/>
        <v>8848.5</v>
      </c>
      <c r="AA76" s="48"/>
      <c r="AB76" s="44"/>
      <c r="AC76" s="44">
        <f t="shared" si="6"/>
        <v>45153.895500000006</v>
      </c>
      <c r="AD76" s="26">
        <v>16</v>
      </c>
      <c r="AE76" s="44">
        <f t="shared" si="13"/>
        <v>7078.8</v>
      </c>
      <c r="AF76" s="44"/>
      <c r="AG76" s="181"/>
      <c r="AH76" s="181">
        <f>S76*35%</f>
        <v>52679.544750000001</v>
      </c>
      <c r="AI76" s="44"/>
      <c r="AJ76" s="44"/>
      <c r="AK76" s="44"/>
      <c r="AL76" s="44">
        <f t="shared" si="7"/>
        <v>279325.02375000005</v>
      </c>
      <c r="AM76" s="44">
        <f t="shared" si="8"/>
        <v>3351.9002850000006</v>
      </c>
      <c r="AN76" s="204">
        <f t="shared" si="9"/>
        <v>0</v>
      </c>
    </row>
    <row r="77" spans="1:40" s="2" customFormat="1" ht="38.25" x14ac:dyDescent="0.2">
      <c r="A77" s="56">
        <v>57</v>
      </c>
      <c r="B77" s="60" t="s">
        <v>130</v>
      </c>
      <c r="C77" s="61" t="s">
        <v>170</v>
      </c>
      <c r="D77" s="23" t="s">
        <v>37</v>
      </c>
      <c r="E77" s="26">
        <f t="shared" si="10"/>
        <v>1</v>
      </c>
      <c r="F77" s="56" t="s">
        <v>180</v>
      </c>
      <c r="G77" s="23"/>
      <c r="H77" s="192" t="s">
        <v>401</v>
      </c>
      <c r="I77" s="132">
        <v>4.38</v>
      </c>
      <c r="J77" s="44">
        <v>17697</v>
      </c>
      <c r="K77" s="24">
        <v>1.75</v>
      </c>
      <c r="L77" s="44">
        <f t="shared" si="1"/>
        <v>135647.505</v>
      </c>
      <c r="M77" s="25">
        <f t="shared" si="2"/>
        <v>16</v>
      </c>
      <c r="N77" s="56">
        <v>16</v>
      </c>
      <c r="O77" s="44">
        <f t="shared" si="3"/>
        <v>135647.505</v>
      </c>
      <c r="P77" s="69"/>
      <c r="Q77" s="44"/>
      <c r="R77" s="25"/>
      <c r="S77" s="44">
        <f t="shared" si="4"/>
        <v>135647.505</v>
      </c>
      <c r="T77" s="44">
        <f t="shared" si="5"/>
        <v>13564.750500000002</v>
      </c>
      <c r="U77" s="44"/>
      <c r="V77" s="72"/>
      <c r="W77" s="44">
        <f t="shared" si="11"/>
        <v>0</v>
      </c>
      <c r="X77" s="72"/>
      <c r="Y77" s="33"/>
      <c r="Z77" s="44"/>
      <c r="AA77" s="48">
        <f>3063*10</f>
        <v>30630</v>
      </c>
      <c r="AB77" s="44"/>
      <c r="AC77" s="44">
        <f t="shared" si="6"/>
        <v>40694.251499999998</v>
      </c>
      <c r="AD77" s="26">
        <v>16</v>
      </c>
      <c r="AE77" s="44">
        <f t="shared" si="13"/>
        <v>7078.8</v>
      </c>
      <c r="AF77" s="44"/>
      <c r="AG77" s="181"/>
      <c r="AH77" s="44"/>
      <c r="AI77" s="44"/>
      <c r="AJ77" s="44"/>
      <c r="AK77" s="44"/>
      <c r="AL77" s="44">
        <f t="shared" si="7"/>
        <v>227615.307</v>
      </c>
      <c r="AM77" s="44">
        <f t="shared" si="8"/>
        <v>2731.3836839999999</v>
      </c>
      <c r="AN77" s="204">
        <f t="shared" si="9"/>
        <v>16</v>
      </c>
    </row>
    <row r="78" spans="1:40" s="2" customFormat="1" ht="38.25" x14ac:dyDescent="0.2">
      <c r="A78" s="56">
        <v>58</v>
      </c>
      <c r="B78" s="61" t="s">
        <v>131</v>
      </c>
      <c r="C78" s="61" t="s">
        <v>167</v>
      </c>
      <c r="D78" s="23" t="s">
        <v>37</v>
      </c>
      <c r="E78" s="26">
        <f t="shared" si="10"/>
        <v>1</v>
      </c>
      <c r="F78" s="56" t="s">
        <v>181</v>
      </c>
      <c r="G78" s="23" t="s">
        <v>70</v>
      </c>
      <c r="H78" s="192" t="s">
        <v>450</v>
      </c>
      <c r="I78" s="132">
        <v>4.59</v>
      </c>
      <c r="J78" s="44">
        <v>17697</v>
      </c>
      <c r="K78" s="24">
        <v>1.75</v>
      </c>
      <c r="L78" s="44">
        <f t="shared" si="1"/>
        <v>142151.1525</v>
      </c>
      <c r="M78" s="25">
        <f t="shared" si="2"/>
        <v>16</v>
      </c>
      <c r="N78" s="56">
        <v>16</v>
      </c>
      <c r="O78" s="44">
        <f t="shared" si="3"/>
        <v>142151.1525</v>
      </c>
      <c r="P78" s="69"/>
      <c r="Q78" s="44"/>
      <c r="R78" s="25"/>
      <c r="S78" s="44">
        <f t="shared" si="4"/>
        <v>142151.1525</v>
      </c>
      <c r="T78" s="44">
        <f t="shared" si="5"/>
        <v>14215.115250000001</v>
      </c>
      <c r="U78" s="44"/>
      <c r="V78" s="72"/>
      <c r="W78" s="44">
        <f t="shared" si="11"/>
        <v>0</v>
      </c>
      <c r="X78" s="72"/>
      <c r="Y78" s="33"/>
      <c r="Z78" s="44"/>
      <c r="AA78" s="48">
        <f>3063*10</f>
        <v>30630</v>
      </c>
      <c r="AB78" s="44"/>
      <c r="AC78" s="44">
        <f t="shared" si="6"/>
        <v>42645.34575</v>
      </c>
      <c r="AD78" s="26">
        <v>16</v>
      </c>
      <c r="AE78" s="44">
        <f t="shared" si="13"/>
        <v>7078.8</v>
      </c>
      <c r="AF78" s="44"/>
      <c r="AG78" s="181">
        <f>+O78*30%</f>
        <v>42645.34575</v>
      </c>
      <c r="AH78" s="44"/>
      <c r="AI78" s="44"/>
      <c r="AJ78" s="44"/>
      <c r="AK78" s="44"/>
      <c r="AL78" s="44">
        <f t="shared" si="7"/>
        <v>279365.75925</v>
      </c>
      <c r="AM78" s="44">
        <f t="shared" si="8"/>
        <v>3352.389111</v>
      </c>
      <c r="AN78" s="204">
        <f t="shared" si="9"/>
        <v>16</v>
      </c>
    </row>
    <row r="79" spans="1:40" s="2" customFormat="1" ht="38.25" x14ac:dyDescent="0.2">
      <c r="A79" s="56">
        <v>59</v>
      </c>
      <c r="B79" s="60" t="s">
        <v>132</v>
      </c>
      <c r="C79" s="61" t="s">
        <v>157</v>
      </c>
      <c r="D79" s="23" t="s">
        <v>37</v>
      </c>
      <c r="E79" s="26">
        <f t="shared" si="10"/>
        <v>0.5</v>
      </c>
      <c r="F79" s="56" t="s">
        <v>176</v>
      </c>
      <c r="G79" s="110" t="s">
        <v>37</v>
      </c>
      <c r="H79" s="192" t="s">
        <v>376</v>
      </c>
      <c r="I79" s="132">
        <v>5.08</v>
      </c>
      <c r="J79" s="44">
        <v>17697</v>
      </c>
      <c r="K79" s="24">
        <v>1.75</v>
      </c>
      <c r="L79" s="44">
        <f t="shared" si="1"/>
        <v>157326.33000000002</v>
      </c>
      <c r="M79" s="25">
        <f t="shared" si="2"/>
        <v>8</v>
      </c>
      <c r="N79" s="202">
        <v>8</v>
      </c>
      <c r="O79" s="44">
        <f t="shared" si="3"/>
        <v>78663.165000000008</v>
      </c>
      <c r="P79" s="206"/>
      <c r="Q79" s="44"/>
      <c r="R79" s="25"/>
      <c r="S79" s="44">
        <f t="shared" si="4"/>
        <v>78663.165000000008</v>
      </c>
      <c r="T79" s="44">
        <f t="shared" si="5"/>
        <v>7866.3165000000008</v>
      </c>
      <c r="U79" s="44"/>
      <c r="V79" s="207"/>
      <c r="W79" s="44">
        <f t="shared" si="11"/>
        <v>0</v>
      </c>
      <c r="X79" s="207">
        <v>8</v>
      </c>
      <c r="Y79" s="33">
        <v>0.5</v>
      </c>
      <c r="Z79" s="44">
        <f t="shared" si="12"/>
        <v>4424.25</v>
      </c>
      <c r="AA79" s="48"/>
      <c r="AB79" s="44"/>
      <c r="AC79" s="44">
        <f t="shared" si="6"/>
        <v>23598.949500000002</v>
      </c>
      <c r="AD79" s="26">
        <v>8</v>
      </c>
      <c r="AE79" s="44">
        <f t="shared" si="13"/>
        <v>3539.4</v>
      </c>
      <c r="AF79" s="44"/>
      <c r="AG79" s="181"/>
      <c r="AH79" s="44"/>
      <c r="AI79" s="44"/>
      <c r="AJ79" s="44">
        <f>S79*50%</f>
        <v>39331.582500000004</v>
      </c>
      <c r="AK79" s="44"/>
      <c r="AL79" s="44">
        <f t="shared" si="7"/>
        <v>157423.66350000002</v>
      </c>
      <c r="AM79" s="44">
        <f t="shared" si="8"/>
        <v>1889.0839620000004</v>
      </c>
      <c r="AN79" s="204">
        <f t="shared" si="9"/>
        <v>0</v>
      </c>
    </row>
    <row r="80" spans="1:40" s="2" customFormat="1" ht="38.25" x14ac:dyDescent="0.2">
      <c r="A80" s="56">
        <v>60</v>
      </c>
      <c r="B80" s="60" t="s">
        <v>133</v>
      </c>
      <c r="C80" s="61" t="s">
        <v>148</v>
      </c>
      <c r="D80" s="23" t="s">
        <v>37</v>
      </c>
      <c r="E80" s="26">
        <f t="shared" si="10"/>
        <v>0.25</v>
      </c>
      <c r="F80" s="56" t="s">
        <v>180</v>
      </c>
      <c r="G80" s="23"/>
      <c r="H80" s="192" t="s">
        <v>451</v>
      </c>
      <c r="I80" s="132">
        <v>4.0999999999999996</v>
      </c>
      <c r="J80" s="44">
        <v>17697</v>
      </c>
      <c r="K80" s="24">
        <v>1.75</v>
      </c>
      <c r="L80" s="44">
        <f t="shared" si="1"/>
        <v>126975.97499999999</v>
      </c>
      <c r="M80" s="25">
        <f t="shared" si="2"/>
        <v>4</v>
      </c>
      <c r="N80" s="56">
        <v>4</v>
      </c>
      <c r="O80" s="44">
        <f t="shared" si="3"/>
        <v>31743.993749999998</v>
      </c>
      <c r="P80" s="69"/>
      <c r="Q80" s="44"/>
      <c r="R80" s="25"/>
      <c r="S80" s="44">
        <f t="shared" si="4"/>
        <v>31743.993749999998</v>
      </c>
      <c r="T80" s="44">
        <f t="shared" si="5"/>
        <v>3174.399375</v>
      </c>
      <c r="U80" s="44"/>
      <c r="V80" s="72"/>
      <c r="W80" s="44">
        <f t="shared" si="11"/>
        <v>0</v>
      </c>
      <c r="X80" s="72"/>
      <c r="Y80" s="33"/>
      <c r="Z80" s="44"/>
      <c r="AA80" s="48"/>
      <c r="AB80" s="44"/>
      <c r="AC80" s="44">
        <f t="shared" si="6"/>
        <v>9523.198124999999</v>
      </c>
      <c r="AD80" s="26">
        <v>3</v>
      </c>
      <c r="AE80" s="44">
        <f t="shared" si="13"/>
        <v>1327.2750000000001</v>
      </c>
      <c r="AF80" s="44"/>
      <c r="AG80" s="181"/>
      <c r="AH80" s="44"/>
      <c r="AI80" s="44"/>
      <c r="AJ80" s="44"/>
      <c r="AK80" s="44"/>
      <c r="AL80" s="44">
        <f t="shared" si="7"/>
        <v>45768.866249999992</v>
      </c>
      <c r="AM80" s="44">
        <f t="shared" si="8"/>
        <v>549.22639499999991</v>
      </c>
      <c r="AN80" s="204">
        <f t="shared" si="9"/>
        <v>4</v>
      </c>
    </row>
    <row r="81" spans="1:40" s="2" customFormat="1" ht="38.25" x14ac:dyDescent="0.2">
      <c r="A81" s="56">
        <v>61</v>
      </c>
      <c r="B81" s="60" t="s">
        <v>134</v>
      </c>
      <c r="C81" s="61" t="s">
        <v>148</v>
      </c>
      <c r="D81" s="23" t="s">
        <v>37</v>
      </c>
      <c r="E81" s="26">
        <f t="shared" si="10"/>
        <v>0.4375</v>
      </c>
      <c r="F81" s="56" t="s">
        <v>180</v>
      </c>
      <c r="G81" s="23"/>
      <c r="H81" s="192" t="s">
        <v>370</v>
      </c>
      <c r="I81" s="132">
        <v>4.0999999999999996</v>
      </c>
      <c r="J81" s="44">
        <v>17697</v>
      </c>
      <c r="K81" s="24">
        <v>1.75</v>
      </c>
      <c r="L81" s="44">
        <f t="shared" si="1"/>
        <v>126975.97499999999</v>
      </c>
      <c r="M81" s="25">
        <f t="shared" si="2"/>
        <v>7</v>
      </c>
      <c r="N81" s="56">
        <v>7</v>
      </c>
      <c r="O81" s="44">
        <f t="shared" si="3"/>
        <v>55551.989062499997</v>
      </c>
      <c r="P81" s="69"/>
      <c r="Q81" s="44"/>
      <c r="R81" s="25"/>
      <c r="S81" s="44">
        <f t="shared" si="4"/>
        <v>55551.989062499997</v>
      </c>
      <c r="T81" s="44">
        <f t="shared" si="5"/>
        <v>5555.1989062499997</v>
      </c>
      <c r="U81" s="44"/>
      <c r="V81" s="72"/>
      <c r="W81" s="44">
        <f t="shared" si="11"/>
        <v>0</v>
      </c>
      <c r="X81" s="72"/>
      <c r="Y81" s="33"/>
      <c r="Z81" s="44"/>
      <c r="AA81" s="48"/>
      <c r="AB81" s="44"/>
      <c r="AC81" s="44">
        <f t="shared" si="6"/>
        <v>16665.596718749999</v>
      </c>
      <c r="AD81" s="26">
        <v>7</v>
      </c>
      <c r="AE81" s="44">
        <f t="shared" si="13"/>
        <v>3096.9749999999999</v>
      </c>
      <c r="AF81" s="44"/>
      <c r="AG81" s="181"/>
      <c r="AH81" s="44"/>
      <c r="AI81" s="44"/>
      <c r="AJ81" s="44"/>
      <c r="AK81" s="44"/>
      <c r="AL81" s="44">
        <f t="shared" si="7"/>
        <v>80869.759687499987</v>
      </c>
      <c r="AM81" s="44">
        <f t="shared" si="8"/>
        <v>970.4371162499998</v>
      </c>
      <c r="AN81" s="204">
        <f t="shared" si="9"/>
        <v>7</v>
      </c>
    </row>
    <row r="82" spans="1:40" s="2" customFormat="1" ht="30" x14ac:dyDescent="0.2">
      <c r="A82" s="56">
        <v>62</v>
      </c>
      <c r="B82" s="61" t="s">
        <v>135</v>
      </c>
      <c r="C82" s="61" t="s">
        <v>171</v>
      </c>
      <c r="D82" s="23" t="s">
        <v>37</v>
      </c>
      <c r="E82" s="26">
        <f t="shared" si="10"/>
        <v>0.5</v>
      </c>
      <c r="F82" s="56" t="s">
        <v>180</v>
      </c>
      <c r="G82" s="23"/>
      <c r="H82" s="192" t="s">
        <v>370</v>
      </c>
      <c r="I82" s="132">
        <v>4.0999999999999996</v>
      </c>
      <c r="J82" s="44">
        <v>17697</v>
      </c>
      <c r="K82" s="24">
        <v>1.75</v>
      </c>
      <c r="L82" s="44">
        <f t="shared" si="1"/>
        <v>126975.97499999999</v>
      </c>
      <c r="M82" s="25">
        <f t="shared" si="2"/>
        <v>8</v>
      </c>
      <c r="N82" s="56">
        <v>8</v>
      </c>
      <c r="O82" s="44">
        <f t="shared" si="3"/>
        <v>63487.987499999996</v>
      </c>
      <c r="P82" s="69"/>
      <c r="Q82" s="44"/>
      <c r="R82" s="25"/>
      <c r="S82" s="44">
        <f t="shared" si="4"/>
        <v>63487.987499999996</v>
      </c>
      <c r="T82" s="44">
        <f t="shared" si="5"/>
        <v>6348.7987499999999</v>
      </c>
      <c r="U82" s="44"/>
      <c r="V82" s="72"/>
      <c r="W82" s="44">
        <f t="shared" si="11"/>
        <v>0</v>
      </c>
      <c r="X82" s="72"/>
      <c r="Y82" s="33"/>
      <c r="Z82" s="44"/>
      <c r="AA82" s="48">
        <f>3063*10</f>
        <v>30630</v>
      </c>
      <c r="AB82" s="44"/>
      <c r="AC82" s="44">
        <f t="shared" si="6"/>
        <v>19046.396249999998</v>
      </c>
      <c r="AD82" s="26">
        <v>8</v>
      </c>
      <c r="AE82" s="44">
        <f t="shared" si="13"/>
        <v>3539.4</v>
      </c>
      <c r="AF82" s="44"/>
      <c r="AG82" s="181"/>
      <c r="AH82" s="44"/>
      <c r="AI82" s="44"/>
      <c r="AJ82" s="44"/>
      <c r="AK82" s="44"/>
      <c r="AL82" s="44">
        <f t="shared" si="7"/>
        <v>123052.58249999999</v>
      </c>
      <c r="AM82" s="44">
        <f t="shared" si="8"/>
        <v>1476.6309899999997</v>
      </c>
      <c r="AN82" s="204">
        <f t="shared" si="9"/>
        <v>8</v>
      </c>
    </row>
    <row r="83" spans="1:40" s="2" customFormat="1" ht="38.25" x14ac:dyDescent="0.2">
      <c r="A83" s="56">
        <v>63</v>
      </c>
      <c r="B83" s="60" t="s">
        <v>136</v>
      </c>
      <c r="C83" s="61" t="s">
        <v>158</v>
      </c>
      <c r="D83" s="23" t="s">
        <v>37</v>
      </c>
      <c r="E83" s="26">
        <f t="shared" si="10"/>
        <v>0.5</v>
      </c>
      <c r="F83" s="56" t="s">
        <v>180</v>
      </c>
      <c r="G83" s="23"/>
      <c r="H83" s="192" t="s">
        <v>452</v>
      </c>
      <c r="I83" s="132">
        <v>4.33</v>
      </c>
      <c r="J83" s="44">
        <v>17697</v>
      </c>
      <c r="K83" s="24">
        <v>1.75</v>
      </c>
      <c r="L83" s="44">
        <f t="shared" si="1"/>
        <v>134099.01750000002</v>
      </c>
      <c r="M83" s="25">
        <f t="shared" si="2"/>
        <v>8</v>
      </c>
      <c r="N83" s="56">
        <v>8</v>
      </c>
      <c r="O83" s="44">
        <f t="shared" si="3"/>
        <v>67049.508750000008</v>
      </c>
      <c r="P83" s="69"/>
      <c r="Q83" s="44"/>
      <c r="R83" s="25"/>
      <c r="S83" s="44">
        <f t="shared" si="4"/>
        <v>67049.508750000008</v>
      </c>
      <c r="T83" s="44">
        <f t="shared" si="5"/>
        <v>6704.9508750000014</v>
      </c>
      <c r="U83" s="44"/>
      <c r="V83" s="72"/>
      <c r="W83" s="44">
        <f t="shared" si="11"/>
        <v>0</v>
      </c>
      <c r="X83" s="72"/>
      <c r="Y83" s="33"/>
      <c r="Z83" s="44"/>
      <c r="AA83" s="48"/>
      <c r="AB83" s="44"/>
      <c r="AC83" s="44">
        <f t="shared" si="6"/>
        <v>20114.852625000003</v>
      </c>
      <c r="AD83" s="26">
        <v>8</v>
      </c>
      <c r="AE83" s="44">
        <f t="shared" si="13"/>
        <v>3539.4</v>
      </c>
      <c r="AF83" s="44"/>
      <c r="AG83" s="181"/>
      <c r="AH83" s="44"/>
      <c r="AI83" s="44"/>
      <c r="AJ83" s="44"/>
      <c r="AK83" s="44"/>
      <c r="AL83" s="44">
        <f t="shared" si="7"/>
        <v>97408.712250000011</v>
      </c>
      <c r="AM83" s="44">
        <f t="shared" si="8"/>
        <v>1168.9045470000003</v>
      </c>
      <c r="AN83" s="204">
        <f t="shared" si="9"/>
        <v>8</v>
      </c>
    </row>
    <row r="84" spans="1:40" s="2" customFormat="1" ht="51" x14ac:dyDescent="0.2">
      <c r="A84" s="56">
        <v>64</v>
      </c>
      <c r="B84" s="61" t="s">
        <v>137</v>
      </c>
      <c r="C84" s="61" t="s">
        <v>172</v>
      </c>
      <c r="D84" s="23" t="s">
        <v>37</v>
      </c>
      <c r="E84" s="26">
        <f t="shared" si="10"/>
        <v>0.5</v>
      </c>
      <c r="F84" s="56" t="s">
        <v>176</v>
      </c>
      <c r="G84" s="23" t="s">
        <v>37</v>
      </c>
      <c r="H84" s="192" t="s">
        <v>379</v>
      </c>
      <c r="I84" s="132">
        <v>5.08</v>
      </c>
      <c r="J84" s="44">
        <v>17697</v>
      </c>
      <c r="K84" s="24">
        <v>1.75</v>
      </c>
      <c r="L84" s="44">
        <f t="shared" si="1"/>
        <v>157326.33000000002</v>
      </c>
      <c r="M84" s="25">
        <f t="shared" si="2"/>
        <v>8</v>
      </c>
      <c r="N84" s="56">
        <v>8</v>
      </c>
      <c r="O84" s="44">
        <f t="shared" si="3"/>
        <v>78663.165000000008</v>
      </c>
      <c r="P84" s="69"/>
      <c r="Q84" s="44"/>
      <c r="R84" s="25"/>
      <c r="S84" s="44">
        <f t="shared" si="4"/>
        <v>78663.165000000008</v>
      </c>
      <c r="T84" s="44">
        <f t="shared" si="5"/>
        <v>7866.3165000000008</v>
      </c>
      <c r="U84" s="44"/>
      <c r="V84" s="72"/>
      <c r="W84" s="44">
        <f t="shared" si="11"/>
        <v>0</v>
      </c>
      <c r="X84" s="72"/>
      <c r="Y84" s="33"/>
      <c r="Z84" s="44"/>
      <c r="AA84" s="48">
        <f>3063*10</f>
        <v>30630</v>
      </c>
      <c r="AB84" s="44">
        <f>SUM(J84*2)</f>
        <v>35394</v>
      </c>
      <c r="AC84" s="44">
        <f t="shared" si="6"/>
        <v>23598.949500000002</v>
      </c>
      <c r="AD84" s="26">
        <v>8</v>
      </c>
      <c r="AE84" s="44">
        <f t="shared" si="13"/>
        <v>3539.4</v>
      </c>
      <c r="AF84" s="44"/>
      <c r="AG84" s="181"/>
      <c r="AH84" s="44"/>
      <c r="AI84" s="181">
        <f>S84*40%</f>
        <v>31465.266000000003</v>
      </c>
      <c r="AJ84" s="44"/>
      <c r="AK84" s="44"/>
      <c r="AL84" s="44">
        <f t="shared" si="7"/>
        <v>211157.09700000004</v>
      </c>
      <c r="AM84" s="44">
        <f t="shared" si="8"/>
        <v>2533.8851640000003</v>
      </c>
      <c r="AN84" s="204">
        <f t="shared" si="9"/>
        <v>8</v>
      </c>
    </row>
    <row r="85" spans="1:40" s="2" customFormat="1" ht="38.25" x14ac:dyDescent="0.2">
      <c r="A85" s="56">
        <v>65</v>
      </c>
      <c r="B85" s="58" t="s">
        <v>138</v>
      </c>
      <c r="C85" s="61" t="s">
        <v>165</v>
      </c>
      <c r="D85" s="23" t="s">
        <v>37</v>
      </c>
      <c r="E85" s="26">
        <f t="shared" si="10"/>
        <v>1.125</v>
      </c>
      <c r="F85" s="56" t="s">
        <v>180</v>
      </c>
      <c r="G85" s="23"/>
      <c r="H85" s="192" t="s">
        <v>358</v>
      </c>
      <c r="I85" s="132">
        <v>4.0999999999999996</v>
      </c>
      <c r="J85" s="44">
        <v>17697</v>
      </c>
      <c r="K85" s="24">
        <v>1.75</v>
      </c>
      <c r="L85" s="44">
        <f t="shared" si="1"/>
        <v>126975.97499999999</v>
      </c>
      <c r="M85" s="25">
        <f t="shared" si="2"/>
        <v>18</v>
      </c>
      <c r="N85" s="56">
        <v>18</v>
      </c>
      <c r="O85" s="44">
        <f t="shared" si="3"/>
        <v>142847.97187499999</v>
      </c>
      <c r="P85" s="69"/>
      <c r="Q85" s="44"/>
      <c r="R85" s="25"/>
      <c r="S85" s="44">
        <f t="shared" si="4"/>
        <v>142847.97187499999</v>
      </c>
      <c r="T85" s="44">
        <f t="shared" si="5"/>
        <v>14284.7971875</v>
      </c>
      <c r="U85" s="44"/>
      <c r="V85" s="72"/>
      <c r="W85" s="44">
        <f t="shared" si="11"/>
        <v>0</v>
      </c>
      <c r="X85" s="72"/>
      <c r="Y85" s="33"/>
      <c r="Z85" s="44"/>
      <c r="AA85" s="48"/>
      <c r="AB85" s="44"/>
      <c r="AC85" s="44">
        <f t="shared" si="6"/>
        <v>42854.391562499994</v>
      </c>
      <c r="AD85" s="26"/>
      <c r="AE85" s="44"/>
      <c r="AF85" s="44"/>
      <c r="AG85" s="181"/>
      <c r="AH85" s="44"/>
      <c r="AI85" s="44"/>
      <c r="AJ85" s="44"/>
      <c r="AK85" s="44"/>
      <c r="AL85" s="44">
        <f t="shared" si="7"/>
        <v>199987.16062499999</v>
      </c>
      <c r="AM85" s="44">
        <f t="shared" si="8"/>
        <v>2399.8459274999996</v>
      </c>
      <c r="AN85" s="204">
        <f t="shared" si="9"/>
        <v>18</v>
      </c>
    </row>
    <row r="86" spans="1:40" s="2" customFormat="1" ht="38.25" x14ac:dyDescent="0.2">
      <c r="A86" s="56">
        <v>66</v>
      </c>
      <c r="B86" s="58" t="s">
        <v>139</v>
      </c>
      <c r="C86" s="61" t="s">
        <v>165</v>
      </c>
      <c r="D86" s="23" t="s">
        <v>37</v>
      </c>
      <c r="E86" s="26">
        <f t="shared" si="10"/>
        <v>1.125</v>
      </c>
      <c r="F86" s="56" t="s">
        <v>180</v>
      </c>
      <c r="G86" s="23"/>
      <c r="H86" s="192" t="s">
        <v>453</v>
      </c>
      <c r="I86" s="132">
        <v>4.0999999999999996</v>
      </c>
      <c r="J86" s="44">
        <v>17697</v>
      </c>
      <c r="K86" s="24">
        <v>1.75</v>
      </c>
      <c r="L86" s="44">
        <f>K86*J86*I86</f>
        <v>126975.97499999999</v>
      </c>
      <c r="M86" s="25">
        <f>N86+P86</f>
        <v>18</v>
      </c>
      <c r="N86" s="56">
        <v>18</v>
      </c>
      <c r="O86" s="44">
        <f>L86/16*N86</f>
        <v>142847.97187499999</v>
      </c>
      <c r="P86" s="69"/>
      <c r="Q86" s="44"/>
      <c r="R86" s="25"/>
      <c r="S86" s="44">
        <f>R86+Q86+O86</f>
        <v>142847.97187499999</v>
      </c>
      <c r="T86" s="44">
        <f>S86*10%</f>
        <v>14284.7971875</v>
      </c>
      <c r="U86" s="44"/>
      <c r="V86" s="72"/>
      <c r="W86" s="44">
        <f t="shared" si="11"/>
        <v>0</v>
      </c>
      <c r="X86" s="72"/>
      <c r="Y86" s="33"/>
      <c r="Z86" s="44"/>
      <c r="AA86" s="48"/>
      <c r="AB86" s="44"/>
      <c r="AC86" s="44">
        <f>S86*30%</f>
        <v>42854.391562499994</v>
      </c>
      <c r="AD86" s="26"/>
      <c r="AE86" s="44"/>
      <c r="AF86" s="44"/>
      <c r="AG86" s="181"/>
      <c r="AH86" s="44"/>
      <c r="AI86" s="44"/>
      <c r="AJ86" s="44"/>
      <c r="AK86" s="44"/>
      <c r="AL86" s="44">
        <f>AJ86+AI86+AH86+AG86+AF86+AE86+AC86+AB86+AA86+Z86+W86+T86+S86+AK86</f>
        <v>199987.16062499999</v>
      </c>
      <c r="AM86" s="44">
        <f>AL86*12/1000</f>
        <v>2399.8459274999996</v>
      </c>
      <c r="AN86" s="204">
        <f>SUM(M86-X86)</f>
        <v>18</v>
      </c>
    </row>
    <row r="87" spans="1:40" s="2" customFormat="1" ht="38.25" x14ac:dyDescent="0.2">
      <c r="A87" s="57">
        <v>67</v>
      </c>
      <c r="B87" s="58" t="s">
        <v>140</v>
      </c>
      <c r="C87" s="61" t="s">
        <v>158</v>
      </c>
      <c r="D87" s="23" t="s">
        <v>37</v>
      </c>
      <c r="E87" s="26">
        <f>(N87/16)+(P87/16)</f>
        <v>1</v>
      </c>
      <c r="F87" s="56" t="s">
        <v>180</v>
      </c>
      <c r="G87" s="23"/>
      <c r="H87" s="192" t="s">
        <v>358</v>
      </c>
      <c r="I87" s="132">
        <v>4.0999999999999996</v>
      </c>
      <c r="J87" s="44">
        <v>17697</v>
      </c>
      <c r="K87" s="24">
        <v>1.75</v>
      </c>
      <c r="L87" s="44">
        <f>K87*J87*I87</f>
        <v>126975.97499999999</v>
      </c>
      <c r="M87" s="25">
        <f>N87+P87</f>
        <v>16</v>
      </c>
      <c r="N87" s="68">
        <v>4</v>
      </c>
      <c r="O87" s="44">
        <f>L87/16*N87</f>
        <v>31743.993749999998</v>
      </c>
      <c r="P87" s="70">
        <v>12</v>
      </c>
      <c r="Q87" s="44">
        <f>L87/16*P87</f>
        <v>95231.981249999997</v>
      </c>
      <c r="R87" s="25"/>
      <c r="S87" s="44">
        <f>R87+Q87+O87</f>
        <v>126975.97499999999</v>
      </c>
      <c r="T87" s="44">
        <f>S87*10%</f>
        <v>12697.5975</v>
      </c>
      <c r="U87" s="44"/>
      <c r="V87" s="72"/>
      <c r="W87" s="44">
        <f>(J87/16*V87*20%)</f>
        <v>0</v>
      </c>
      <c r="X87" s="72"/>
      <c r="Y87" s="33"/>
      <c r="Z87" s="44"/>
      <c r="AA87" s="48"/>
      <c r="AB87" s="44"/>
      <c r="AC87" s="44">
        <f>S87*30%</f>
        <v>38092.792499999996</v>
      </c>
      <c r="AD87" s="26">
        <v>16</v>
      </c>
      <c r="AE87" s="44">
        <f>J87/16*40%*AD87</f>
        <v>7078.8</v>
      </c>
      <c r="AF87" s="44"/>
      <c r="AG87" s="181"/>
      <c r="AH87" s="44"/>
      <c r="AI87" s="44"/>
      <c r="AJ87" s="44"/>
      <c r="AK87" s="44"/>
      <c r="AL87" s="44">
        <f>AJ87+AI87+AH87+AG87+AF87+AE87+AC87+AB87+AA87+Z87+W87+T87+S87+AK87</f>
        <v>184845.16499999998</v>
      </c>
      <c r="AM87" s="44">
        <f>AL87*12/1000</f>
        <v>2218.1419799999994</v>
      </c>
      <c r="AN87" s="204">
        <f>SUM(M87-X87)</f>
        <v>16</v>
      </c>
    </row>
    <row r="88" spans="1:40" s="2" customFormat="1" ht="38.25" x14ac:dyDescent="0.2">
      <c r="A88" s="57">
        <v>68</v>
      </c>
      <c r="B88" s="200" t="s">
        <v>141</v>
      </c>
      <c r="C88" s="201" t="s">
        <v>173</v>
      </c>
      <c r="D88" s="23" t="s">
        <v>37</v>
      </c>
      <c r="E88" s="26">
        <f>(N88/16)+(P88/16)</f>
        <v>1</v>
      </c>
      <c r="F88" s="202" t="s">
        <v>180</v>
      </c>
      <c r="G88" s="23"/>
      <c r="H88" s="203" t="s">
        <v>454</v>
      </c>
      <c r="I88" s="132">
        <v>4.33</v>
      </c>
      <c r="J88" s="44">
        <v>17697</v>
      </c>
      <c r="K88" s="24">
        <v>1.75</v>
      </c>
      <c r="L88" s="44">
        <f>K88*J88*I88</f>
        <v>134099.01750000002</v>
      </c>
      <c r="M88" s="25">
        <f>N88+P88</f>
        <v>16</v>
      </c>
      <c r="N88" s="68">
        <v>4</v>
      </c>
      <c r="O88" s="44">
        <f>L88/16*N88</f>
        <v>33524.754375000004</v>
      </c>
      <c r="P88" s="70">
        <v>12</v>
      </c>
      <c r="Q88" s="44">
        <f>L88/16*P88</f>
        <v>100574.26312500001</v>
      </c>
      <c r="R88" s="25"/>
      <c r="S88" s="44">
        <f>R88+Q88+O88</f>
        <v>134099.01750000002</v>
      </c>
      <c r="T88" s="44">
        <f>S88*10%</f>
        <v>13409.901750000003</v>
      </c>
      <c r="U88" s="44"/>
      <c r="V88" s="72"/>
      <c r="W88" s="44">
        <f>(J88/16*V88*20%)</f>
        <v>0</v>
      </c>
      <c r="X88" s="72">
        <v>16</v>
      </c>
      <c r="Y88" s="33">
        <v>0.5</v>
      </c>
      <c r="Z88" s="44">
        <f>J88/16*X88*Y88</f>
        <v>8848.5</v>
      </c>
      <c r="AA88" s="48"/>
      <c r="AB88" s="44"/>
      <c r="AC88" s="44">
        <f>S88*30%</f>
        <v>40229.705250000006</v>
      </c>
      <c r="AD88" s="26">
        <v>16</v>
      </c>
      <c r="AE88" s="44">
        <f>J88/16*40%*AD88</f>
        <v>7078.8</v>
      </c>
      <c r="AF88" s="44"/>
      <c r="AG88" s="181"/>
      <c r="AH88" s="44"/>
      <c r="AI88" s="44"/>
      <c r="AJ88" s="44"/>
      <c r="AK88" s="44"/>
      <c r="AL88" s="44">
        <f>AJ88+AI88+AH88+AG88+AF88+AE88+AC88+AB88+AA88+Z88+W88+T88+S88+AK88</f>
        <v>203665.92450000002</v>
      </c>
      <c r="AM88" s="44">
        <f>AL88*12/1000</f>
        <v>2443.9910940000004</v>
      </c>
      <c r="AN88" s="204">
        <f>SUM(M88-X88)</f>
        <v>0</v>
      </c>
    </row>
    <row r="89" spans="1:40" s="32" customFormat="1" ht="26.25" customHeight="1" x14ac:dyDescent="0.2">
      <c r="A89" s="30"/>
      <c r="B89" s="31" t="s">
        <v>71</v>
      </c>
      <c r="C89" s="31"/>
      <c r="D89" s="30"/>
      <c r="E89" s="177">
        <f>SUM(E21:E88)</f>
        <v>62.9375</v>
      </c>
      <c r="F89" s="30"/>
      <c r="G89" s="30"/>
      <c r="H89" s="183"/>
      <c r="I89" s="133"/>
      <c r="J89" s="30"/>
      <c r="K89" s="30"/>
      <c r="L89" s="30">
        <f t="shared" ref="L89:S89" si="16">SUM(L21:L88)</f>
        <v>10231786.005000001</v>
      </c>
      <c r="M89" s="30">
        <f t="shared" si="16"/>
        <v>1007</v>
      </c>
      <c r="N89" s="30">
        <f t="shared" si="16"/>
        <v>731</v>
      </c>
      <c r="O89" s="30">
        <f t="shared" si="16"/>
        <v>6889162.819218751</v>
      </c>
      <c r="P89" s="30">
        <f t="shared" si="16"/>
        <v>276</v>
      </c>
      <c r="Q89" s="30">
        <f t="shared" si="16"/>
        <v>2655230.2284375001</v>
      </c>
      <c r="R89" s="30">
        <f t="shared" si="16"/>
        <v>0</v>
      </c>
      <c r="S89" s="30">
        <f t="shared" si="16"/>
        <v>9544393.0476562511</v>
      </c>
      <c r="T89" s="30">
        <f>S89*10%</f>
        <v>954439.30476562516</v>
      </c>
      <c r="U89" s="44"/>
      <c r="V89" s="30">
        <f t="shared" ref="V89:AK89" si="17">SUM(V21:V88)</f>
        <v>0</v>
      </c>
      <c r="W89" s="30">
        <f t="shared" si="17"/>
        <v>0</v>
      </c>
      <c r="X89" s="30">
        <f t="shared" si="17"/>
        <v>395</v>
      </c>
      <c r="Y89" s="30">
        <f t="shared" si="17"/>
        <v>14.25</v>
      </c>
      <c r="Z89" s="30">
        <f t="shared" si="17"/>
        <v>214023.09375</v>
      </c>
      <c r="AA89" s="30">
        <f t="shared" si="17"/>
        <v>367560</v>
      </c>
      <c r="AB89" s="30">
        <f t="shared" si="17"/>
        <v>247758</v>
      </c>
      <c r="AC89" s="30">
        <f t="shared" si="17"/>
        <v>2863317.9142968766</v>
      </c>
      <c r="AD89" s="30">
        <f t="shared" si="17"/>
        <v>525</v>
      </c>
      <c r="AE89" s="30">
        <f t="shared" si="17"/>
        <v>232273.12499999988</v>
      </c>
      <c r="AF89" s="30">
        <f t="shared" si="17"/>
        <v>24775.800000000003</v>
      </c>
      <c r="AG89" s="30">
        <f t="shared" si="17"/>
        <v>349135.54101562494</v>
      </c>
      <c r="AH89" s="30">
        <f t="shared" si="17"/>
        <v>448738.12823437504</v>
      </c>
      <c r="AI89" s="30">
        <f t="shared" si="17"/>
        <v>1343940.0436875001</v>
      </c>
      <c r="AJ89" s="30">
        <f t="shared" si="17"/>
        <v>344228.77125000005</v>
      </c>
      <c r="AK89" s="30">
        <f t="shared" si="17"/>
        <v>81140.74500000001</v>
      </c>
      <c r="AL89" s="30">
        <f>SUM(AL21:AL88)</f>
        <v>17015723.514656246</v>
      </c>
      <c r="AM89" s="30">
        <f>SUM(AM21:AM88)</f>
        <v>204188.682175875</v>
      </c>
      <c r="AN89" s="176">
        <v>204804</v>
      </c>
    </row>
    <row r="90" spans="1:40" s="32" customFormat="1" ht="26.25" customHeight="1" x14ac:dyDescent="0.2">
      <c r="A90" s="159"/>
      <c r="B90" s="160"/>
      <c r="C90" s="160"/>
      <c r="D90" s="159"/>
      <c r="E90" s="159"/>
      <c r="F90" s="159"/>
      <c r="G90" s="159"/>
      <c r="H90" s="184"/>
      <c r="I90" s="161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45"/>
      <c r="U90" s="45"/>
      <c r="V90" s="159"/>
      <c r="W90" s="159"/>
      <c r="X90" s="159"/>
      <c r="Y90" s="159"/>
      <c r="Z90" s="159"/>
      <c r="AA90" s="159"/>
      <c r="AB90" s="159"/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</row>
    <row r="91" spans="1:40" s="164" customFormat="1" ht="18" customHeight="1" x14ac:dyDescent="0.2">
      <c r="A91" s="163"/>
      <c r="B91" s="162" t="s">
        <v>10</v>
      </c>
      <c r="D91" s="162"/>
      <c r="H91" s="193"/>
      <c r="I91" s="165"/>
      <c r="J91" s="164" t="s">
        <v>336</v>
      </c>
      <c r="K91" s="163"/>
      <c r="L91" s="166"/>
      <c r="M91" s="167"/>
      <c r="N91" s="167"/>
      <c r="O91" s="166"/>
      <c r="P91" s="167"/>
      <c r="Q91" s="166"/>
      <c r="R91" s="167"/>
      <c r="S91" s="166"/>
      <c r="T91" s="167"/>
      <c r="U91" s="167"/>
      <c r="V91" s="167"/>
      <c r="W91" s="166"/>
      <c r="X91" s="167"/>
      <c r="Y91" s="168"/>
      <c r="Z91" s="166"/>
      <c r="AA91" s="166"/>
      <c r="AB91" s="166"/>
      <c r="AC91" s="167"/>
      <c r="AD91" s="167"/>
      <c r="AE91" s="167"/>
      <c r="AF91" s="167"/>
      <c r="AG91" s="167"/>
      <c r="AH91" s="167"/>
      <c r="AI91" s="167"/>
      <c r="AJ91" s="167"/>
      <c r="AK91" s="167"/>
      <c r="AL91" s="169"/>
      <c r="AM91" s="170"/>
    </row>
    <row r="92" spans="1:40" s="164" customFormat="1" ht="18" customHeight="1" x14ac:dyDescent="0.2">
      <c r="A92" s="163"/>
      <c r="B92" s="162"/>
      <c r="D92" s="162"/>
      <c r="H92" s="194"/>
      <c r="I92" s="165"/>
      <c r="J92" s="164" t="s">
        <v>337</v>
      </c>
      <c r="K92" s="163"/>
      <c r="L92" s="170"/>
      <c r="M92" s="172"/>
      <c r="N92" s="172"/>
      <c r="O92" s="166"/>
      <c r="P92" s="172"/>
      <c r="Q92" s="166"/>
      <c r="R92" s="172"/>
      <c r="S92" s="166"/>
      <c r="T92" s="172"/>
      <c r="U92" s="172"/>
      <c r="V92" s="172"/>
      <c r="W92" s="166"/>
      <c r="X92" s="172"/>
      <c r="Y92" s="168"/>
      <c r="Z92" s="170"/>
      <c r="AA92" s="170"/>
      <c r="AB92" s="170"/>
      <c r="AF92" s="173"/>
      <c r="AG92" s="173"/>
      <c r="AH92" s="173"/>
      <c r="AI92" s="173"/>
      <c r="AJ92" s="173"/>
      <c r="AK92" s="173"/>
      <c r="AL92" s="170"/>
      <c r="AM92" s="170"/>
    </row>
    <row r="93" spans="1:40" s="164" customFormat="1" ht="18" customHeight="1" x14ac:dyDescent="0.2">
      <c r="B93" s="162"/>
      <c r="D93" s="162"/>
      <c r="H93" s="195"/>
      <c r="I93" s="165"/>
      <c r="J93" s="164" t="s">
        <v>338</v>
      </c>
      <c r="K93" s="163"/>
      <c r="L93" s="170"/>
      <c r="M93" s="174"/>
      <c r="O93" s="170"/>
      <c r="Q93" s="170"/>
      <c r="S93" s="170"/>
      <c r="W93" s="170"/>
      <c r="Y93" s="175"/>
      <c r="Z93" s="170"/>
      <c r="AA93" s="170"/>
      <c r="AB93" s="170"/>
      <c r="AL93" s="170"/>
      <c r="AM93" s="170"/>
    </row>
    <row r="94" spans="1:40" s="164" customFormat="1" ht="18" customHeight="1" x14ac:dyDescent="0.2">
      <c r="B94" s="162"/>
      <c r="D94" s="162"/>
      <c r="H94" s="195"/>
      <c r="I94" s="165"/>
      <c r="J94" s="164" t="s">
        <v>339</v>
      </c>
      <c r="K94" s="163"/>
      <c r="L94" s="170"/>
      <c r="M94" s="173"/>
      <c r="O94" s="170"/>
      <c r="P94" s="171"/>
      <c r="Q94" s="170"/>
      <c r="S94" s="170"/>
      <c r="W94" s="170"/>
      <c r="Y94" s="175"/>
      <c r="Z94" s="170"/>
      <c r="AA94" s="170"/>
      <c r="AB94" s="170"/>
      <c r="AL94" s="170"/>
      <c r="AM94" s="170"/>
    </row>
    <row r="95" spans="1:40" s="164" customFormat="1" ht="18" customHeight="1" x14ac:dyDescent="0.2">
      <c r="B95" s="162"/>
      <c r="D95" s="162"/>
      <c r="H95" s="195"/>
      <c r="I95" s="165"/>
      <c r="J95" s="164" t="s">
        <v>340</v>
      </c>
      <c r="K95" s="163"/>
      <c r="L95" s="170"/>
      <c r="M95" s="173"/>
      <c r="O95" s="170"/>
      <c r="P95" s="171"/>
      <c r="Q95" s="170"/>
      <c r="S95" s="170"/>
      <c r="W95" s="170"/>
      <c r="Y95" s="175"/>
      <c r="Z95" s="170"/>
      <c r="AA95" s="170"/>
      <c r="AB95" s="170"/>
      <c r="AL95" s="170"/>
      <c r="AM95" s="170"/>
    </row>
    <row r="96" spans="1:40" s="2" customFormat="1" ht="15.75" x14ac:dyDescent="0.25">
      <c r="A96" s="3"/>
      <c r="B96" s="5"/>
      <c r="C96" s="5"/>
      <c r="D96" s="5"/>
      <c r="E96" s="5"/>
      <c r="F96" s="5"/>
      <c r="G96" s="5"/>
      <c r="H96" s="196"/>
      <c r="I96" s="134"/>
      <c r="J96" s="19"/>
      <c r="K96" s="29"/>
      <c r="L96" s="19"/>
      <c r="M96" s="5"/>
      <c r="N96" s="5"/>
      <c r="O96" s="19"/>
      <c r="P96" s="5"/>
      <c r="Q96" s="19"/>
      <c r="R96" s="5"/>
      <c r="S96" s="19"/>
      <c r="T96" s="5"/>
      <c r="U96" s="5"/>
      <c r="V96" s="3"/>
      <c r="W96" s="18"/>
      <c r="X96" s="3"/>
      <c r="Y96" s="36"/>
      <c r="Z96" s="18"/>
      <c r="AA96" s="18"/>
      <c r="AB96" s="18"/>
      <c r="AC96" s="3"/>
      <c r="AD96" s="3"/>
      <c r="AE96" s="3"/>
      <c r="AF96" s="3"/>
      <c r="AG96" s="3"/>
      <c r="AH96" s="3"/>
      <c r="AI96" s="3"/>
      <c r="AJ96" s="3"/>
      <c r="AK96" s="3"/>
      <c r="AL96" s="18"/>
      <c r="AM96" s="42"/>
    </row>
    <row r="97" spans="1:39" s="2" customFormat="1" ht="15.75" x14ac:dyDescent="0.25">
      <c r="A97" s="3"/>
      <c r="B97" s="5"/>
      <c r="C97" s="5"/>
      <c r="D97" s="5"/>
      <c r="E97" s="5"/>
      <c r="F97" s="5"/>
      <c r="G97" s="5"/>
      <c r="H97" s="196"/>
      <c r="I97" s="134"/>
      <c r="J97" s="19"/>
      <c r="K97" s="29"/>
      <c r="L97" s="19"/>
      <c r="M97" s="5"/>
      <c r="N97" s="5"/>
      <c r="O97" s="19"/>
      <c r="P97" s="6"/>
      <c r="Q97" s="19"/>
      <c r="R97" s="5"/>
      <c r="S97" s="19"/>
      <c r="T97" s="5"/>
      <c r="U97" s="5"/>
      <c r="V97" s="3"/>
      <c r="W97" s="18"/>
      <c r="X97" s="3"/>
      <c r="Y97" s="36"/>
      <c r="Z97" s="18"/>
      <c r="AA97" s="18"/>
      <c r="AB97" s="18"/>
      <c r="AC97" s="3"/>
      <c r="AD97" s="3"/>
      <c r="AE97" s="3"/>
      <c r="AF97" s="3"/>
      <c r="AG97" s="3"/>
      <c r="AH97" s="3"/>
      <c r="AI97" s="3"/>
      <c r="AJ97" s="3"/>
      <c r="AK97" s="3"/>
      <c r="AL97" s="18"/>
      <c r="AM97" s="42"/>
    </row>
    <row r="98" spans="1:39" s="2" customFormat="1" ht="28.5" customHeight="1" x14ac:dyDescent="0.25">
      <c r="A98" s="3"/>
      <c r="B98" s="5"/>
      <c r="C98" s="5"/>
      <c r="D98" s="5"/>
      <c r="E98" s="5"/>
      <c r="F98" s="5"/>
      <c r="G98" s="5"/>
      <c r="H98" s="196"/>
      <c r="I98" s="134"/>
      <c r="J98" s="19"/>
      <c r="K98" s="29"/>
      <c r="L98" s="19"/>
      <c r="M98" s="7"/>
      <c r="N98" s="5"/>
      <c r="O98" s="19"/>
      <c r="P98" s="6"/>
      <c r="Q98" s="19"/>
      <c r="R98" s="5"/>
      <c r="S98" s="19"/>
      <c r="T98" s="5"/>
      <c r="U98" s="5"/>
      <c r="V98" s="3"/>
      <c r="W98" s="18"/>
      <c r="X98" s="3"/>
      <c r="Y98" s="36"/>
      <c r="Z98" s="18"/>
      <c r="AA98" s="18"/>
      <c r="AB98" s="18"/>
      <c r="AC98" s="3"/>
      <c r="AD98" s="3"/>
      <c r="AE98" s="3"/>
      <c r="AF98" s="3"/>
      <c r="AG98" s="3"/>
      <c r="AH98" s="3"/>
      <c r="AI98" s="3"/>
      <c r="AJ98" s="3"/>
      <c r="AK98" s="3"/>
      <c r="AL98" s="18"/>
      <c r="AM98" s="42"/>
    </row>
    <row r="99" spans="1:39" s="2" customFormat="1" ht="15.75" x14ac:dyDescent="0.25">
      <c r="A99" s="1"/>
      <c r="B99" s="5"/>
      <c r="C99" s="5"/>
      <c r="D99" s="5"/>
      <c r="E99" s="5"/>
      <c r="F99" s="5"/>
      <c r="G99" s="5"/>
      <c r="H99" s="196"/>
      <c r="I99" s="134"/>
      <c r="J99" s="19"/>
      <c r="K99" s="29"/>
      <c r="L99" s="19"/>
      <c r="M99" s="8"/>
      <c r="N99" s="5"/>
      <c r="O99" s="19"/>
      <c r="P99" s="6"/>
      <c r="Q99" s="19"/>
      <c r="R99" s="5"/>
      <c r="S99" s="19"/>
      <c r="T99" s="5"/>
      <c r="U99" s="5"/>
      <c r="V99" s="3"/>
      <c r="W99" s="18"/>
      <c r="X99" s="3"/>
      <c r="Y99" s="36"/>
      <c r="Z99" s="18"/>
      <c r="AA99" s="18"/>
      <c r="AB99" s="18"/>
      <c r="AC99" s="3"/>
      <c r="AD99" s="3"/>
      <c r="AE99" s="3"/>
      <c r="AF99" s="3"/>
      <c r="AG99" s="3"/>
      <c r="AH99" s="3"/>
      <c r="AI99" s="3"/>
      <c r="AJ99" s="3"/>
      <c r="AK99" s="3"/>
      <c r="AL99" s="18"/>
      <c r="AM99" s="42"/>
    </row>
    <row r="100" spans="1:39" s="2" customFormat="1" ht="15.75" x14ac:dyDescent="0.25">
      <c r="A100" s="9"/>
      <c r="B100" s="5"/>
      <c r="C100" s="5"/>
      <c r="D100" s="5"/>
      <c r="E100" s="5"/>
      <c r="F100" s="5"/>
      <c r="G100" s="5"/>
      <c r="H100" s="197"/>
      <c r="I100" s="134"/>
      <c r="J100" s="19"/>
      <c r="K100" s="29"/>
      <c r="L100" s="19"/>
      <c r="M100" s="8"/>
      <c r="N100" s="5"/>
      <c r="O100" s="19"/>
      <c r="P100" s="5"/>
      <c r="Q100" s="19"/>
      <c r="R100" s="5"/>
      <c r="S100" s="19"/>
      <c r="T100" s="5"/>
      <c r="U100" s="5"/>
      <c r="W100" s="42"/>
      <c r="Y100" s="35"/>
      <c r="Z100" s="42"/>
      <c r="AA100" s="42"/>
      <c r="AB100" s="42"/>
      <c r="AL100" s="42"/>
      <c r="AM100" s="42"/>
    </row>
    <row r="101" spans="1:39" s="2" customFormat="1" ht="15" x14ac:dyDescent="0.25">
      <c r="A101" s="9"/>
      <c r="H101" s="197"/>
      <c r="I101" s="135"/>
      <c r="J101" s="42"/>
      <c r="K101" s="28"/>
      <c r="L101" s="42"/>
      <c r="M101" s="10"/>
      <c r="O101" s="42"/>
      <c r="Q101" s="42"/>
      <c r="S101" s="42"/>
      <c r="W101" s="42"/>
      <c r="Y101" s="35"/>
      <c r="Z101" s="42"/>
      <c r="AA101" s="42"/>
      <c r="AB101" s="42"/>
      <c r="AL101" s="42"/>
      <c r="AM101" s="42"/>
    </row>
    <row r="102" spans="1:39" s="2" customFormat="1" ht="15" x14ac:dyDescent="0.25">
      <c r="A102" s="9"/>
      <c r="H102" s="197"/>
      <c r="I102" s="135"/>
      <c r="J102" s="42"/>
      <c r="K102" s="28"/>
      <c r="L102" s="42"/>
      <c r="M102" s="11"/>
      <c r="O102" s="42"/>
      <c r="Q102" s="42"/>
      <c r="S102" s="42"/>
      <c r="W102" s="42"/>
      <c r="Y102" s="35"/>
      <c r="Z102" s="42"/>
      <c r="AA102" s="42"/>
      <c r="AB102" s="42"/>
      <c r="AL102" s="42"/>
      <c r="AM102" s="42"/>
    </row>
    <row r="103" spans="1:39" s="2" customFormat="1" ht="15" x14ac:dyDescent="0.25">
      <c r="H103" s="196"/>
      <c r="I103" s="135"/>
      <c r="J103" s="42"/>
      <c r="K103" s="28"/>
      <c r="L103" s="42"/>
      <c r="O103" s="42"/>
      <c r="Q103" s="42"/>
      <c r="S103" s="42"/>
      <c r="W103" s="42"/>
      <c r="Y103" s="35"/>
      <c r="Z103" s="42"/>
      <c r="AA103" s="42"/>
      <c r="AB103" s="42"/>
      <c r="AL103" s="42"/>
      <c r="AM103" s="42"/>
    </row>
  </sheetData>
  <sheetProtection password="C7B7" sheet="1"/>
  <autoFilter ref="A20:AO89" xr:uid="{00000000-0009-0000-0000-000002000000}"/>
  <mergeCells count="31">
    <mergeCell ref="C6:F6"/>
    <mergeCell ref="B7:E7"/>
    <mergeCell ref="H19:H20"/>
    <mergeCell ref="I19:I20"/>
    <mergeCell ref="J19:J20"/>
    <mergeCell ref="AM19:AM20"/>
    <mergeCell ref="B19:B20"/>
    <mergeCell ref="AG19:AJ19"/>
    <mergeCell ref="A16:AM16"/>
    <mergeCell ref="L19:L20"/>
    <mergeCell ref="AF19:AF20"/>
    <mergeCell ref="AD18:AL18"/>
    <mergeCell ref="V19:Z19"/>
    <mergeCell ref="C19:C20"/>
    <mergeCell ref="AB19:AB20"/>
    <mergeCell ref="AE19:AE20"/>
    <mergeCell ref="E19:E20"/>
    <mergeCell ref="K19:K20"/>
    <mergeCell ref="S19:S20"/>
    <mergeCell ref="AC19:AC20"/>
    <mergeCell ref="R19:R20"/>
    <mergeCell ref="AD19:AD20"/>
    <mergeCell ref="AL19:AL20"/>
    <mergeCell ref="AA19:AA20"/>
    <mergeCell ref="T19:T20"/>
    <mergeCell ref="G19:G20"/>
    <mergeCell ref="A19:A20"/>
    <mergeCell ref="D19:D20"/>
    <mergeCell ref="N19:Q19"/>
    <mergeCell ref="F19:F20"/>
    <mergeCell ref="M19:M20"/>
  </mergeCells>
  <pageMargins left="0" right="0" top="0.39370078740157483" bottom="0.39370078740157483" header="0.31496062992125984" footer="0.31496062992125984"/>
  <pageSetup paperSize="9" scale="43" fitToHeight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AN55"/>
  <sheetViews>
    <sheetView view="pageBreakPreview" topLeftCell="A11" zoomScale="60" zoomScaleNormal="55" workbookViewId="0">
      <selection activeCell="I30" sqref="I30"/>
    </sheetView>
  </sheetViews>
  <sheetFormatPr defaultColWidth="6.140625" defaultRowHeight="12.75" x14ac:dyDescent="0.2"/>
  <cols>
    <col min="1" max="1" width="4.7109375" style="256" customWidth="1"/>
    <col min="2" max="2" width="18.5703125" style="256" customWidth="1"/>
    <col min="3" max="3" width="18.28515625" style="260" customWidth="1"/>
    <col min="4" max="4" width="10.85546875" style="257" customWidth="1"/>
    <col min="5" max="5" width="7.140625" style="256" customWidth="1"/>
    <col min="6" max="6" width="9.5703125" style="256" customWidth="1"/>
    <col min="7" max="7" width="8.85546875" style="256" customWidth="1"/>
    <col min="8" max="8" width="7" style="259" customWidth="1"/>
    <col min="9" max="9" width="10.7109375" style="258" customWidth="1"/>
    <col min="10" max="10" width="7.42578125" style="256" customWidth="1"/>
    <col min="11" max="11" width="12.85546875" style="258" customWidth="1"/>
    <col min="12" max="12" width="10.42578125" style="258" customWidth="1"/>
    <col min="13" max="13" width="10.5703125" style="258" customWidth="1"/>
    <col min="14" max="14" width="10.28515625" style="258" customWidth="1"/>
    <col min="15" max="15" width="6.140625" style="258" hidden="1" customWidth="1"/>
    <col min="16" max="16" width="10.5703125" style="258" customWidth="1"/>
    <col min="17" max="17" width="5.42578125" style="258" customWidth="1"/>
    <col min="18" max="18" width="5.28515625" style="258" customWidth="1"/>
    <col min="19" max="19" width="10.28515625" style="258" customWidth="1"/>
    <col min="20" max="20" width="6.28515625" style="258" customWidth="1"/>
    <col min="21" max="21" width="9.5703125" style="258" customWidth="1"/>
    <col min="22" max="22" width="11.28515625" style="258" customWidth="1"/>
    <col min="23" max="23" width="6" style="258" customWidth="1"/>
    <col min="24" max="24" width="5.28515625" style="258" customWidth="1"/>
    <col min="25" max="25" width="12.42578125" style="258" customWidth="1"/>
    <col min="26" max="26" width="12.140625" style="258" customWidth="1"/>
    <col min="27" max="27" width="13" style="258" customWidth="1"/>
    <col min="28" max="28" width="6.140625" style="256"/>
    <col min="29" max="29" width="7.28515625" style="256" bestFit="1" customWidth="1"/>
    <col min="30" max="16384" width="6.140625" style="256"/>
  </cols>
  <sheetData>
    <row r="1" spans="1:40" x14ac:dyDescent="0.2">
      <c r="A1" s="256" t="s">
        <v>583</v>
      </c>
    </row>
    <row r="4" spans="1:40" ht="14.25" customHeight="1" x14ac:dyDescent="0.25">
      <c r="A4" s="224" t="s">
        <v>499</v>
      </c>
      <c r="B4" s="221"/>
      <c r="C4" s="221"/>
      <c r="D4" s="221"/>
      <c r="E4" s="230"/>
      <c r="F4" s="230"/>
      <c r="G4" s="221"/>
      <c r="H4" s="246"/>
      <c r="I4" s="221"/>
      <c r="J4" s="221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24" t="s">
        <v>591</v>
      </c>
      <c r="W4" s="221"/>
      <c r="X4" s="221"/>
      <c r="Y4" s="221"/>
      <c r="Z4" s="230"/>
      <c r="AA4" s="230"/>
    </row>
    <row r="5" spans="1:40" ht="21" customHeight="1" x14ac:dyDescent="0.25">
      <c r="A5" s="220" t="s">
        <v>490</v>
      </c>
      <c r="B5" s="221"/>
      <c r="C5" s="221"/>
      <c r="D5" s="221"/>
      <c r="E5" s="230"/>
      <c r="F5" s="230"/>
      <c r="G5" s="221"/>
      <c r="H5" s="246"/>
      <c r="I5" s="221"/>
      <c r="J5" s="221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20" t="s">
        <v>592</v>
      </c>
      <c r="W5" s="221"/>
      <c r="X5" s="221"/>
      <c r="Y5" s="221"/>
      <c r="Z5" s="230"/>
      <c r="AA5" s="230"/>
    </row>
    <row r="6" spans="1:40" ht="18" customHeight="1" x14ac:dyDescent="0.25">
      <c r="A6" s="224" t="s">
        <v>581</v>
      </c>
      <c r="B6" s="221"/>
      <c r="C6" s="221"/>
      <c r="D6" s="221"/>
      <c r="E6" s="230"/>
      <c r="F6" s="230"/>
      <c r="G6" s="221"/>
      <c r="H6" s="246"/>
      <c r="I6" s="221"/>
      <c r="J6" s="221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24" t="s">
        <v>593</v>
      </c>
      <c r="W6" s="221"/>
      <c r="X6" s="221"/>
      <c r="Y6" s="221"/>
      <c r="Z6" s="230"/>
      <c r="AA6" s="230"/>
    </row>
    <row r="7" spans="1:40" ht="18" customHeight="1" x14ac:dyDescent="0.25">
      <c r="A7" s="224" t="s">
        <v>596</v>
      </c>
      <c r="B7" s="221"/>
      <c r="C7" s="221"/>
      <c r="D7" s="221"/>
      <c r="E7" s="230"/>
      <c r="F7" s="230"/>
      <c r="G7" s="221"/>
      <c r="H7" s="246"/>
      <c r="I7" s="221"/>
      <c r="J7" s="221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24" t="s">
        <v>594</v>
      </c>
      <c r="W7" s="221"/>
      <c r="X7" s="221"/>
      <c r="Y7" s="221"/>
      <c r="Z7" s="230"/>
      <c r="AA7" s="230"/>
    </row>
    <row r="8" spans="1:40" ht="35.25" customHeight="1" x14ac:dyDescent="0.25">
      <c r="A8" s="224" t="s">
        <v>573</v>
      </c>
      <c r="B8" s="221"/>
      <c r="C8" s="221"/>
      <c r="D8" s="221"/>
      <c r="E8" s="230"/>
      <c r="F8" s="230"/>
      <c r="G8" s="221"/>
      <c r="H8" s="246"/>
      <c r="I8" s="221"/>
      <c r="J8" s="221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24" t="s">
        <v>595</v>
      </c>
      <c r="W8" s="221"/>
      <c r="X8" s="221"/>
      <c r="Y8" s="221"/>
      <c r="Z8" s="230"/>
      <c r="AA8" s="230"/>
    </row>
    <row r="9" spans="1:40" ht="12.75" customHeight="1" x14ac:dyDescent="0.25">
      <c r="A9" s="221"/>
      <c r="B9" s="148"/>
      <c r="C9" s="221"/>
      <c r="D9" s="270"/>
      <c r="E9" s="231"/>
      <c r="F9" s="230"/>
      <c r="G9" s="221"/>
      <c r="H9" s="246"/>
      <c r="I9" s="221"/>
      <c r="J9" s="221"/>
      <c r="K9" s="230"/>
      <c r="L9" s="230"/>
      <c r="M9" s="230"/>
      <c r="N9" s="230"/>
      <c r="O9" s="230"/>
      <c r="P9" s="230"/>
      <c r="Q9" s="230"/>
      <c r="R9" s="230"/>
      <c r="S9" s="230"/>
      <c r="T9" s="230"/>
      <c r="U9" s="230"/>
      <c r="V9" s="224"/>
      <c r="W9" s="221"/>
      <c r="X9" s="221"/>
      <c r="Y9" s="221"/>
      <c r="Z9" s="230"/>
      <c r="AA9" s="230"/>
    </row>
    <row r="10" spans="1:40" ht="14.25" hidden="1" customHeight="1" x14ac:dyDescent="0.25">
      <c r="A10" s="221"/>
      <c r="B10" s="148"/>
      <c r="C10" s="221"/>
      <c r="D10" s="270"/>
      <c r="E10" s="231"/>
      <c r="F10" s="230"/>
      <c r="G10" s="221"/>
      <c r="H10" s="246"/>
      <c r="I10" s="221"/>
      <c r="J10" s="221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81"/>
      <c r="W10" s="230"/>
      <c r="X10" s="230"/>
      <c r="Y10" s="230"/>
      <c r="Z10" s="230"/>
      <c r="AA10" s="230"/>
    </row>
    <row r="11" spans="1:40" ht="7.5" customHeight="1" x14ac:dyDescent="0.25">
      <c r="A11" s="221"/>
      <c r="B11" s="148"/>
      <c r="C11" s="221"/>
      <c r="D11" s="270"/>
      <c r="E11" s="231"/>
      <c r="F11" s="230"/>
      <c r="G11" s="221"/>
      <c r="H11" s="246"/>
      <c r="I11" s="221"/>
      <c r="J11" s="221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81"/>
      <c r="W11" s="230"/>
      <c r="X11" s="230"/>
      <c r="Y11" s="230"/>
      <c r="Z11" s="230"/>
      <c r="AA11" s="230"/>
    </row>
    <row r="12" spans="1:40" ht="39.6" customHeight="1" x14ac:dyDescent="0.2">
      <c r="A12" s="361" t="s">
        <v>606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  <c r="Z12" s="361"/>
      <c r="AA12" s="361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</row>
    <row r="13" spans="1:40" ht="12" customHeight="1" x14ac:dyDescent="0.25">
      <c r="A13" s="221"/>
      <c r="B13" s="221"/>
      <c r="C13" s="148"/>
      <c r="D13" s="270"/>
      <c r="E13" s="221"/>
      <c r="F13" s="221"/>
      <c r="G13" s="221"/>
      <c r="H13" s="246"/>
      <c r="I13" s="230"/>
      <c r="J13" s="221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0"/>
      <c r="AA13" s="230"/>
    </row>
    <row r="14" spans="1:40" s="152" customFormat="1" ht="28.5" customHeight="1" x14ac:dyDescent="0.2">
      <c r="A14" s="362" t="s">
        <v>22</v>
      </c>
      <c r="B14" s="362" t="s">
        <v>0</v>
      </c>
      <c r="C14" s="362" t="s">
        <v>1</v>
      </c>
      <c r="D14" s="362" t="s">
        <v>59</v>
      </c>
      <c r="E14" s="362" t="s">
        <v>2</v>
      </c>
      <c r="F14" s="362" t="s">
        <v>35</v>
      </c>
      <c r="G14" s="362" t="s">
        <v>36</v>
      </c>
      <c r="H14" s="364" t="s">
        <v>3</v>
      </c>
      <c r="I14" s="357" t="s">
        <v>53</v>
      </c>
      <c r="J14" s="362" t="s">
        <v>51</v>
      </c>
      <c r="K14" s="357" t="s">
        <v>4</v>
      </c>
      <c r="L14" s="357" t="s">
        <v>52</v>
      </c>
      <c r="M14" s="357" t="s">
        <v>42</v>
      </c>
      <c r="N14" s="359" t="s">
        <v>44</v>
      </c>
      <c r="O14" s="360"/>
      <c r="P14" s="360"/>
      <c r="Q14" s="360"/>
      <c r="R14" s="360"/>
      <c r="S14" s="360"/>
      <c r="T14" s="360"/>
      <c r="U14" s="366" t="s">
        <v>44</v>
      </c>
      <c r="V14" s="366"/>
      <c r="W14" s="366"/>
      <c r="X14" s="366"/>
      <c r="Y14" s="366"/>
      <c r="Z14" s="357" t="s">
        <v>66</v>
      </c>
      <c r="AA14" s="357" t="s">
        <v>67</v>
      </c>
    </row>
    <row r="15" spans="1:40" s="152" customFormat="1" ht="156" customHeight="1" x14ac:dyDescent="0.2">
      <c r="A15" s="363"/>
      <c r="B15" s="363"/>
      <c r="C15" s="363"/>
      <c r="D15" s="363"/>
      <c r="E15" s="363"/>
      <c r="F15" s="363"/>
      <c r="G15" s="363"/>
      <c r="H15" s="365"/>
      <c r="I15" s="358"/>
      <c r="J15" s="363"/>
      <c r="K15" s="358"/>
      <c r="L15" s="358"/>
      <c r="M15" s="358"/>
      <c r="N15" s="272">
        <v>0.1</v>
      </c>
      <c r="O15" s="272" t="s">
        <v>73</v>
      </c>
      <c r="P15" s="273" t="s">
        <v>48</v>
      </c>
      <c r="Q15" s="273" t="s">
        <v>494</v>
      </c>
      <c r="R15" s="273" t="s">
        <v>55</v>
      </c>
      <c r="S15" s="273" t="s">
        <v>54</v>
      </c>
      <c r="T15" s="273" t="s">
        <v>50</v>
      </c>
      <c r="U15" s="274" t="s">
        <v>45</v>
      </c>
      <c r="V15" s="274" t="s">
        <v>46</v>
      </c>
      <c r="W15" s="274" t="s">
        <v>49</v>
      </c>
      <c r="X15" s="274" t="s">
        <v>47</v>
      </c>
      <c r="Y15" s="274" t="s">
        <v>497</v>
      </c>
      <c r="Z15" s="358"/>
      <c r="AA15" s="358"/>
    </row>
    <row r="16" spans="1:40" s="147" customFormat="1" ht="25.5" customHeight="1" x14ac:dyDescent="0.2">
      <c r="A16" s="271">
        <v>1</v>
      </c>
      <c r="B16" s="271">
        <v>2</v>
      </c>
      <c r="C16" s="271">
        <v>3</v>
      </c>
      <c r="D16" s="271">
        <v>4</v>
      </c>
      <c r="E16" s="271">
        <v>5</v>
      </c>
      <c r="F16" s="271">
        <v>6</v>
      </c>
      <c r="G16" s="271">
        <v>7</v>
      </c>
      <c r="H16" s="271">
        <v>8</v>
      </c>
      <c r="I16" s="271">
        <v>9</v>
      </c>
      <c r="J16" s="271">
        <v>10</v>
      </c>
      <c r="K16" s="271">
        <v>11</v>
      </c>
      <c r="L16" s="271">
        <v>12</v>
      </c>
      <c r="M16" s="271">
        <v>13</v>
      </c>
      <c r="N16" s="271">
        <v>14</v>
      </c>
      <c r="O16" s="271">
        <v>15</v>
      </c>
      <c r="P16" s="271">
        <v>16</v>
      </c>
      <c r="Q16" s="271">
        <v>17</v>
      </c>
      <c r="R16" s="271">
        <v>18</v>
      </c>
      <c r="S16" s="271">
        <v>19</v>
      </c>
      <c r="T16" s="271">
        <v>20</v>
      </c>
      <c r="U16" s="271">
        <v>21</v>
      </c>
      <c r="V16" s="271">
        <v>22</v>
      </c>
      <c r="W16" s="271">
        <v>23</v>
      </c>
      <c r="X16" s="271">
        <v>24</v>
      </c>
      <c r="Y16" s="271">
        <v>25</v>
      </c>
      <c r="Z16" s="271">
        <v>26</v>
      </c>
      <c r="AA16" s="271">
        <v>27</v>
      </c>
    </row>
    <row r="17" spans="1:27" s="151" customFormat="1" ht="29.25" customHeight="1" x14ac:dyDescent="0.2">
      <c r="A17" s="275"/>
      <c r="B17" s="275"/>
      <c r="C17" s="275"/>
      <c r="D17" s="276"/>
      <c r="E17" s="318" t="s">
        <v>589</v>
      </c>
      <c r="F17" s="275"/>
      <c r="G17" s="275"/>
      <c r="H17" s="275"/>
      <c r="I17" s="275"/>
      <c r="J17" s="275">
        <f t="shared" ref="J17:AA17" si="0">SUM(J18:J48)</f>
        <v>62</v>
      </c>
      <c r="K17" s="275">
        <f t="shared" si="0"/>
        <v>3518252.085</v>
      </c>
      <c r="L17" s="275">
        <f t="shared" si="0"/>
        <v>0</v>
      </c>
      <c r="M17" s="275">
        <f t="shared" si="0"/>
        <v>482287.49249999993</v>
      </c>
      <c r="N17" s="275">
        <f t="shared" si="0"/>
        <v>400053.95774999983</v>
      </c>
      <c r="O17" s="275">
        <f t="shared" si="0"/>
        <v>0</v>
      </c>
      <c r="P17" s="275">
        <f t="shared" si="0"/>
        <v>28313</v>
      </c>
      <c r="Q17" s="275">
        <f t="shared" si="0"/>
        <v>0</v>
      </c>
      <c r="R17" s="275">
        <f t="shared" si="0"/>
        <v>0</v>
      </c>
      <c r="S17" s="275">
        <f t="shared" si="0"/>
        <v>91113</v>
      </c>
      <c r="T17" s="275">
        <f t="shared" si="0"/>
        <v>0</v>
      </c>
      <c r="U17" s="275">
        <f t="shared" si="0"/>
        <v>162060</v>
      </c>
      <c r="V17" s="275">
        <f t="shared" si="0"/>
        <v>0</v>
      </c>
      <c r="W17" s="275">
        <f t="shared" si="0"/>
        <v>0</v>
      </c>
      <c r="X17" s="275">
        <f t="shared" si="0"/>
        <v>0</v>
      </c>
      <c r="Y17" s="275">
        <f t="shared" si="0"/>
        <v>334163.74</v>
      </c>
      <c r="Z17" s="275">
        <f t="shared" si="0"/>
        <v>5018012.4432500005</v>
      </c>
      <c r="AA17" s="275">
        <f t="shared" si="0"/>
        <v>60216149.319000006</v>
      </c>
    </row>
    <row r="18" spans="1:27" s="147" customFormat="1" ht="48.75" customHeight="1" x14ac:dyDescent="0.2">
      <c r="A18" s="307">
        <v>1</v>
      </c>
      <c r="B18" s="58" t="s">
        <v>5</v>
      </c>
      <c r="C18" s="293" t="s">
        <v>503</v>
      </c>
      <c r="D18" s="287" t="s">
        <v>483</v>
      </c>
      <c r="E18" s="77">
        <v>1</v>
      </c>
      <c r="F18" s="140" t="s">
        <v>484</v>
      </c>
      <c r="G18" s="140">
        <v>26.7</v>
      </c>
      <c r="H18" s="141">
        <v>5.91</v>
      </c>
      <c r="I18" s="297">
        <v>17697</v>
      </c>
      <c r="J18" s="307">
        <v>2</v>
      </c>
      <c r="K18" s="303">
        <f>E18*H18*I18*J18</f>
        <v>209178.54</v>
      </c>
      <c r="L18" s="307"/>
      <c r="M18" s="303">
        <f>K18*25%</f>
        <v>52294.635000000002</v>
      </c>
      <c r="N18" s="303">
        <f>(K18+M18)*10%</f>
        <v>26147.317500000005</v>
      </c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3">
        <f>(K18+M18)*30%</f>
        <v>78441.952499999999</v>
      </c>
      <c r="Z18" s="303">
        <f>SUM(K18:Y18)</f>
        <v>366062.44500000007</v>
      </c>
      <c r="AA18" s="303">
        <f>Z18*12</f>
        <v>4392749.3400000008</v>
      </c>
    </row>
    <row r="19" spans="1:27" s="147" customFormat="1" ht="42.75" x14ac:dyDescent="0.2">
      <c r="A19" s="307">
        <v>2</v>
      </c>
      <c r="B19" s="58" t="s">
        <v>504</v>
      </c>
      <c r="C19" s="293" t="s">
        <v>505</v>
      </c>
      <c r="D19" s="287" t="s">
        <v>483</v>
      </c>
      <c r="E19" s="77">
        <v>1</v>
      </c>
      <c r="F19" s="140" t="s">
        <v>506</v>
      </c>
      <c r="G19" s="288">
        <v>16.7</v>
      </c>
      <c r="H19" s="288">
        <v>5.31</v>
      </c>
      <c r="I19" s="297">
        <v>17697</v>
      </c>
      <c r="J19" s="307">
        <v>2</v>
      </c>
      <c r="K19" s="303">
        <f t="shared" ref="K19:K48" si="1">E19*H19*I19*J19</f>
        <v>187942.13999999998</v>
      </c>
      <c r="L19" s="307"/>
      <c r="M19" s="303">
        <f t="shared" ref="M19:M30" si="2">K19*25%</f>
        <v>46985.534999999996</v>
      </c>
      <c r="N19" s="303">
        <f t="shared" ref="N19:N48" si="3">(K19+M19)*10%</f>
        <v>23492.767500000002</v>
      </c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3">
        <v>114367</v>
      </c>
      <c r="Z19" s="303">
        <f t="shared" ref="Z19:Z38" si="4">SUM(K19:Y19)</f>
        <v>372787.4425</v>
      </c>
      <c r="AA19" s="303">
        <f t="shared" ref="AA19:AA48" si="5">Z19*12</f>
        <v>4473449.3100000005</v>
      </c>
    </row>
    <row r="20" spans="1:27" s="147" customFormat="1" ht="25.5" x14ac:dyDescent="0.2">
      <c r="A20" s="307">
        <v>3</v>
      </c>
      <c r="B20" s="58" t="s">
        <v>507</v>
      </c>
      <c r="C20" s="308" t="s">
        <v>508</v>
      </c>
      <c r="D20" s="287" t="s">
        <v>483</v>
      </c>
      <c r="E20" s="77">
        <v>1</v>
      </c>
      <c r="F20" s="140" t="s">
        <v>506</v>
      </c>
      <c r="G20" s="140">
        <v>26.7</v>
      </c>
      <c r="H20" s="141">
        <v>5.62</v>
      </c>
      <c r="I20" s="297">
        <v>17697</v>
      </c>
      <c r="J20" s="307">
        <v>2</v>
      </c>
      <c r="K20" s="303">
        <f t="shared" si="1"/>
        <v>198914.28</v>
      </c>
      <c r="L20" s="307"/>
      <c r="M20" s="303">
        <f t="shared" si="2"/>
        <v>49728.57</v>
      </c>
      <c r="N20" s="303">
        <f t="shared" si="3"/>
        <v>24864.285000000003</v>
      </c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3">
        <f>(K20+M20)*30%</f>
        <v>74592.854999999996</v>
      </c>
      <c r="Z20" s="303">
        <f t="shared" si="4"/>
        <v>348099.99</v>
      </c>
      <c r="AA20" s="303">
        <f t="shared" si="5"/>
        <v>4177199.88</v>
      </c>
    </row>
    <row r="21" spans="1:27" s="147" customFormat="1" ht="42.75" x14ac:dyDescent="0.2">
      <c r="A21" s="307">
        <v>4</v>
      </c>
      <c r="B21" s="58" t="s">
        <v>509</v>
      </c>
      <c r="C21" s="293" t="s">
        <v>510</v>
      </c>
      <c r="D21" s="287" t="s">
        <v>483</v>
      </c>
      <c r="E21" s="77">
        <v>1</v>
      </c>
      <c r="F21" s="140" t="s">
        <v>506</v>
      </c>
      <c r="G21" s="319" t="s">
        <v>608</v>
      </c>
      <c r="H21" s="141">
        <v>5.03</v>
      </c>
      <c r="I21" s="297">
        <v>17697</v>
      </c>
      <c r="J21" s="307">
        <v>2</v>
      </c>
      <c r="K21" s="303">
        <f t="shared" si="1"/>
        <v>178031.82</v>
      </c>
      <c r="L21" s="307"/>
      <c r="M21" s="303">
        <f t="shared" si="2"/>
        <v>44507.955000000002</v>
      </c>
      <c r="N21" s="303">
        <f t="shared" si="3"/>
        <v>22253.977500000005</v>
      </c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3">
        <f>(K21+M21)*30%</f>
        <v>66761.93250000001</v>
      </c>
      <c r="Z21" s="303">
        <f t="shared" si="4"/>
        <v>311555.68500000006</v>
      </c>
      <c r="AA21" s="303">
        <f t="shared" si="5"/>
        <v>3738668.2200000007</v>
      </c>
    </row>
    <row r="22" spans="1:27" s="147" customFormat="1" ht="28.5" x14ac:dyDescent="0.2">
      <c r="A22" s="307">
        <v>5</v>
      </c>
      <c r="B22" s="58" t="s">
        <v>197</v>
      </c>
      <c r="C22" s="293" t="s">
        <v>511</v>
      </c>
      <c r="D22" s="287" t="s">
        <v>483</v>
      </c>
      <c r="E22" s="77">
        <v>1</v>
      </c>
      <c r="F22" s="140" t="s">
        <v>485</v>
      </c>
      <c r="G22" s="140">
        <v>17.7</v>
      </c>
      <c r="H22" s="141">
        <v>4.59</v>
      </c>
      <c r="I22" s="297">
        <v>17697</v>
      </c>
      <c r="J22" s="307">
        <v>2</v>
      </c>
      <c r="K22" s="303">
        <f t="shared" si="1"/>
        <v>162458.46</v>
      </c>
      <c r="L22" s="307"/>
      <c r="M22" s="303">
        <f t="shared" si="2"/>
        <v>40614.614999999998</v>
      </c>
      <c r="N22" s="303">
        <f t="shared" si="3"/>
        <v>20307.307499999999</v>
      </c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3">
        <f t="shared" si="4"/>
        <v>223380.38249999998</v>
      </c>
      <c r="AA22" s="303">
        <f t="shared" si="5"/>
        <v>2680564.59</v>
      </c>
    </row>
    <row r="23" spans="1:27" s="147" customFormat="1" ht="25.5" x14ac:dyDescent="0.2">
      <c r="A23" s="307">
        <v>6</v>
      </c>
      <c r="B23" s="309" t="s">
        <v>199</v>
      </c>
      <c r="C23" s="309" t="s">
        <v>512</v>
      </c>
      <c r="D23" s="287" t="s">
        <v>483</v>
      </c>
      <c r="E23" s="310">
        <v>1</v>
      </c>
      <c r="F23" s="311" t="s">
        <v>513</v>
      </c>
      <c r="G23" s="77">
        <v>11.7</v>
      </c>
      <c r="H23" s="312">
        <v>4.21</v>
      </c>
      <c r="I23" s="297">
        <v>17697</v>
      </c>
      <c r="J23" s="307">
        <v>2</v>
      </c>
      <c r="K23" s="303">
        <f t="shared" si="1"/>
        <v>149008.74</v>
      </c>
      <c r="L23" s="307"/>
      <c r="M23" s="303">
        <f t="shared" si="2"/>
        <v>37252.184999999998</v>
      </c>
      <c r="N23" s="303">
        <f t="shared" si="3"/>
        <v>18626.092499999999</v>
      </c>
      <c r="O23" s="307"/>
      <c r="P23" s="307"/>
      <c r="Q23" s="307"/>
      <c r="R23" s="307"/>
      <c r="S23" s="307"/>
      <c r="T23" s="307"/>
      <c r="U23" s="307">
        <v>55878</v>
      </c>
      <c r="V23" s="307"/>
      <c r="W23" s="307"/>
      <c r="X23" s="307"/>
      <c r="Y23" s="307"/>
      <c r="Z23" s="303">
        <f t="shared" si="4"/>
        <v>260765.01749999999</v>
      </c>
      <c r="AA23" s="303">
        <f t="shared" si="5"/>
        <v>3129180.21</v>
      </c>
    </row>
    <row r="24" spans="1:27" s="147" customFormat="1" ht="42.75" x14ac:dyDescent="0.2">
      <c r="A24" s="307">
        <v>7</v>
      </c>
      <c r="B24" s="313" t="s">
        <v>514</v>
      </c>
      <c r="C24" s="293" t="s">
        <v>515</v>
      </c>
      <c r="D24" s="287" t="s">
        <v>483</v>
      </c>
      <c r="E24" s="310">
        <v>1</v>
      </c>
      <c r="F24" s="77" t="s">
        <v>513</v>
      </c>
      <c r="G24" s="288">
        <v>4.7</v>
      </c>
      <c r="H24" s="288">
        <v>4</v>
      </c>
      <c r="I24" s="297">
        <v>17697</v>
      </c>
      <c r="J24" s="307">
        <v>2</v>
      </c>
      <c r="K24" s="303">
        <f t="shared" si="1"/>
        <v>141576</v>
      </c>
      <c r="L24" s="307"/>
      <c r="M24" s="303">
        <f t="shared" si="2"/>
        <v>35394</v>
      </c>
      <c r="N24" s="303">
        <f t="shared" si="3"/>
        <v>17697</v>
      </c>
      <c r="O24" s="307"/>
      <c r="P24" s="307"/>
      <c r="Q24" s="307"/>
      <c r="R24" s="307"/>
      <c r="S24" s="307"/>
      <c r="T24" s="307"/>
      <c r="U24" s="307">
        <v>53091</v>
      </c>
      <c r="V24" s="307"/>
      <c r="W24" s="307"/>
      <c r="X24" s="307"/>
      <c r="Y24" s="307"/>
      <c r="Z24" s="303">
        <f t="shared" si="4"/>
        <v>247758</v>
      </c>
      <c r="AA24" s="303">
        <f t="shared" si="5"/>
        <v>2973096</v>
      </c>
    </row>
    <row r="25" spans="1:27" s="147" customFormat="1" ht="31.5" x14ac:dyDescent="0.2">
      <c r="A25" s="307">
        <v>8</v>
      </c>
      <c r="B25" s="313" t="s">
        <v>495</v>
      </c>
      <c r="C25" s="313" t="s">
        <v>516</v>
      </c>
      <c r="D25" s="287" t="s">
        <v>483</v>
      </c>
      <c r="E25" s="310">
        <v>1</v>
      </c>
      <c r="F25" s="311" t="s">
        <v>513</v>
      </c>
      <c r="G25" s="288">
        <v>4.7</v>
      </c>
      <c r="H25" s="288">
        <v>4</v>
      </c>
      <c r="I25" s="297">
        <v>17697</v>
      </c>
      <c r="J25" s="307">
        <v>2</v>
      </c>
      <c r="K25" s="303">
        <f t="shared" si="1"/>
        <v>141576</v>
      </c>
      <c r="L25" s="307"/>
      <c r="M25" s="303">
        <f t="shared" si="2"/>
        <v>35394</v>
      </c>
      <c r="N25" s="303">
        <f t="shared" si="3"/>
        <v>17697</v>
      </c>
      <c r="O25" s="307"/>
      <c r="P25" s="307"/>
      <c r="Q25" s="307"/>
      <c r="R25" s="307"/>
      <c r="S25" s="307"/>
      <c r="T25" s="307"/>
      <c r="U25" s="307">
        <v>53091</v>
      </c>
      <c r="V25" s="307"/>
      <c r="W25" s="307"/>
      <c r="X25" s="307"/>
      <c r="Y25" s="307"/>
      <c r="Z25" s="303">
        <f t="shared" si="4"/>
        <v>247758</v>
      </c>
      <c r="AA25" s="303">
        <f t="shared" si="5"/>
        <v>2973096</v>
      </c>
    </row>
    <row r="26" spans="1:27" s="147" customFormat="1" ht="38.25" x14ac:dyDescent="0.2">
      <c r="A26" s="262">
        <v>9</v>
      </c>
      <c r="B26" s="313" t="s">
        <v>498</v>
      </c>
      <c r="C26" s="308" t="s">
        <v>517</v>
      </c>
      <c r="D26" s="287" t="s">
        <v>483</v>
      </c>
      <c r="E26" s="314">
        <v>0.5</v>
      </c>
      <c r="F26" s="311" t="s">
        <v>13</v>
      </c>
      <c r="G26" s="320" t="s">
        <v>609</v>
      </c>
      <c r="H26" s="311">
        <v>4</v>
      </c>
      <c r="I26" s="297">
        <v>17697</v>
      </c>
      <c r="J26" s="307">
        <v>2</v>
      </c>
      <c r="K26" s="303">
        <f t="shared" si="1"/>
        <v>70788</v>
      </c>
      <c r="L26" s="307"/>
      <c r="M26" s="303">
        <f t="shared" si="2"/>
        <v>17697</v>
      </c>
      <c r="N26" s="303">
        <f t="shared" si="3"/>
        <v>8848.5</v>
      </c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3">
        <f t="shared" si="4"/>
        <v>97333.5</v>
      </c>
      <c r="AA26" s="303">
        <f t="shared" si="5"/>
        <v>1168002</v>
      </c>
    </row>
    <row r="27" spans="1:27" s="147" customFormat="1" ht="42.75" x14ac:dyDescent="0.2">
      <c r="A27" s="307">
        <v>10</v>
      </c>
      <c r="B27" s="309" t="s">
        <v>482</v>
      </c>
      <c r="C27" s="293" t="s">
        <v>518</v>
      </c>
      <c r="D27" s="287" t="s">
        <v>483</v>
      </c>
      <c r="E27" s="314">
        <v>1</v>
      </c>
      <c r="F27" s="311" t="s">
        <v>485</v>
      </c>
      <c r="G27" s="77">
        <v>6.7</v>
      </c>
      <c r="H27" s="311">
        <v>4.2699999999999996</v>
      </c>
      <c r="I27" s="297">
        <v>17697</v>
      </c>
      <c r="J27" s="307">
        <v>2</v>
      </c>
      <c r="K27" s="303">
        <f t="shared" si="1"/>
        <v>151132.37999999998</v>
      </c>
      <c r="L27" s="307"/>
      <c r="M27" s="303">
        <f t="shared" si="2"/>
        <v>37783.094999999994</v>
      </c>
      <c r="N27" s="303">
        <f t="shared" si="3"/>
        <v>18891.547499999997</v>
      </c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3">
        <f>SUM(K27:Y27)</f>
        <v>207807.02249999996</v>
      </c>
      <c r="AA27" s="303">
        <f t="shared" si="5"/>
        <v>2493684.2699999996</v>
      </c>
    </row>
    <row r="28" spans="1:27" s="147" customFormat="1" ht="25.5" x14ac:dyDescent="0.2">
      <c r="A28" s="307">
        <v>11</v>
      </c>
      <c r="B28" s="309" t="s">
        <v>519</v>
      </c>
      <c r="C28" s="308" t="s">
        <v>520</v>
      </c>
      <c r="D28" s="287" t="s">
        <v>483</v>
      </c>
      <c r="E28" s="314">
        <v>1</v>
      </c>
      <c r="F28" s="288" t="s">
        <v>13</v>
      </c>
      <c r="G28" s="288">
        <v>2.7</v>
      </c>
      <c r="H28" s="288">
        <v>3.64</v>
      </c>
      <c r="I28" s="297">
        <v>17697</v>
      </c>
      <c r="J28" s="307">
        <v>2</v>
      </c>
      <c r="K28" s="303">
        <f t="shared" si="1"/>
        <v>128834.16</v>
      </c>
      <c r="L28" s="307"/>
      <c r="M28" s="303">
        <f t="shared" si="2"/>
        <v>32208.54</v>
      </c>
      <c r="N28" s="303">
        <f t="shared" si="3"/>
        <v>16104.270000000002</v>
      </c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3">
        <v>226504.7</v>
      </c>
      <c r="AA28" s="303">
        <f t="shared" si="5"/>
        <v>2718056.4000000004</v>
      </c>
    </row>
    <row r="29" spans="1:27" s="147" customFormat="1" ht="25.5" x14ac:dyDescent="0.2">
      <c r="A29" s="307">
        <v>12</v>
      </c>
      <c r="B29" s="308" t="s">
        <v>580</v>
      </c>
      <c r="C29" s="308" t="s">
        <v>590</v>
      </c>
      <c r="D29" s="287" t="s">
        <v>483</v>
      </c>
      <c r="E29" s="314">
        <v>1</v>
      </c>
      <c r="F29" s="288" t="s">
        <v>13</v>
      </c>
      <c r="G29" s="288">
        <v>4.7</v>
      </c>
      <c r="H29" s="288">
        <v>3.71</v>
      </c>
      <c r="I29" s="297">
        <v>17697</v>
      </c>
      <c r="J29" s="307">
        <v>2</v>
      </c>
      <c r="K29" s="303">
        <f t="shared" si="1"/>
        <v>131311.74</v>
      </c>
      <c r="L29" s="307"/>
      <c r="M29" s="303">
        <f t="shared" si="2"/>
        <v>32827.934999999998</v>
      </c>
      <c r="N29" s="303">
        <f t="shared" si="3"/>
        <v>16413.967499999999</v>
      </c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3">
        <f t="shared" si="4"/>
        <v>180553.64249999999</v>
      </c>
      <c r="AA29" s="303">
        <f t="shared" si="5"/>
        <v>2166643.71</v>
      </c>
    </row>
    <row r="30" spans="1:27" s="147" customFormat="1" ht="38.25" x14ac:dyDescent="0.2">
      <c r="A30" s="307">
        <v>13</v>
      </c>
      <c r="B30" s="315" t="s">
        <v>220</v>
      </c>
      <c r="C30" s="308" t="s">
        <v>521</v>
      </c>
      <c r="D30" s="287" t="s">
        <v>483</v>
      </c>
      <c r="E30" s="314">
        <v>0.5</v>
      </c>
      <c r="F30" s="288" t="s">
        <v>522</v>
      </c>
      <c r="G30" s="288">
        <v>8</v>
      </c>
      <c r="H30" s="288">
        <v>4.43</v>
      </c>
      <c r="I30" s="297">
        <v>17697</v>
      </c>
      <c r="J30" s="307">
        <v>2</v>
      </c>
      <c r="K30" s="303">
        <f t="shared" si="1"/>
        <v>78397.709999999992</v>
      </c>
      <c r="L30" s="307"/>
      <c r="M30" s="303">
        <f t="shared" si="2"/>
        <v>19599.427499999998</v>
      </c>
      <c r="N30" s="303">
        <f t="shared" si="3"/>
        <v>9799.713749999999</v>
      </c>
      <c r="O30" s="307"/>
      <c r="P30" s="307">
        <v>3539</v>
      </c>
      <c r="Q30" s="307"/>
      <c r="R30" s="307"/>
      <c r="S30" s="307"/>
      <c r="T30" s="307"/>
      <c r="U30" s="307"/>
      <c r="V30" s="307"/>
      <c r="W30" s="307"/>
      <c r="X30" s="307"/>
      <c r="Y30" s="307"/>
      <c r="Z30" s="303">
        <f t="shared" si="4"/>
        <v>111335.85124999998</v>
      </c>
      <c r="AA30" s="303">
        <f t="shared" si="5"/>
        <v>1336030.2149999999</v>
      </c>
    </row>
    <row r="31" spans="1:27" s="147" customFormat="1" ht="38.25" x14ac:dyDescent="0.2">
      <c r="A31" s="307">
        <v>14</v>
      </c>
      <c r="B31" s="309" t="s">
        <v>209</v>
      </c>
      <c r="C31" s="308" t="s">
        <v>517</v>
      </c>
      <c r="D31" s="287" t="s">
        <v>483</v>
      </c>
      <c r="E31" s="310">
        <v>0.5</v>
      </c>
      <c r="F31" s="311" t="s">
        <v>522</v>
      </c>
      <c r="G31" s="288">
        <v>13.7</v>
      </c>
      <c r="H31" s="288">
        <v>4.51</v>
      </c>
      <c r="I31" s="297">
        <v>17697</v>
      </c>
      <c r="J31" s="307">
        <v>2</v>
      </c>
      <c r="K31" s="303">
        <f t="shared" si="1"/>
        <v>79813.47</v>
      </c>
      <c r="L31" s="307"/>
      <c r="M31" s="303"/>
      <c r="N31" s="303">
        <f t="shared" si="3"/>
        <v>7981.3470000000007</v>
      </c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3">
        <f t="shared" si="4"/>
        <v>87794.816999999995</v>
      </c>
      <c r="AA31" s="303">
        <f t="shared" si="5"/>
        <v>1053537.804</v>
      </c>
    </row>
    <row r="32" spans="1:27" s="147" customFormat="1" ht="25.5" x14ac:dyDescent="0.2">
      <c r="A32" s="307">
        <v>15</v>
      </c>
      <c r="B32" s="315" t="s">
        <v>209</v>
      </c>
      <c r="C32" s="308" t="s">
        <v>523</v>
      </c>
      <c r="D32" s="287" t="s">
        <v>486</v>
      </c>
      <c r="E32" s="314">
        <v>1</v>
      </c>
      <c r="F32" s="77" t="s">
        <v>522</v>
      </c>
      <c r="G32" s="288">
        <v>12.1</v>
      </c>
      <c r="H32" s="288">
        <v>4.46</v>
      </c>
      <c r="I32" s="297">
        <v>17697</v>
      </c>
      <c r="J32" s="307">
        <v>2</v>
      </c>
      <c r="K32" s="303">
        <f t="shared" si="1"/>
        <v>157857.24</v>
      </c>
      <c r="L32" s="307"/>
      <c r="M32" s="303"/>
      <c r="N32" s="303">
        <f t="shared" si="3"/>
        <v>15785.724</v>
      </c>
      <c r="O32" s="307"/>
      <c r="P32" s="307"/>
      <c r="Q32" s="307"/>
      <c r="R32" s="307"/>
      <c r="S32" s="307"/>
      <c r="T32" s="307"/>
      <c r="U32" s="307"/>
      <c r="V32" s="303"/>
      <c r="W32" s="307"/>
      <c r="X32" s="307"/>
      <c r="Y32" s="307"/>
      <c r="Z32" s="303">
        <f t="shared" si="4"/>
        <v>173642.96399999998</v>
      </c>
      <c r="AA32" s="303">
        <f t="shared" si="5"/>
        <v>2083715.5679999997</v>
      </c>
    </row>
    <row r="33" spans="1:27" s="147" customFormat="1" ht="25.5" x14ac:dyDescent="0.2">
      <c r="A33" s="307">
        <v>16</v>
      </c>
      <c r="B33" s="309" t="s">
        <v>194</v>
      </c>
      <c r="C33" s="308" t="s">
        <v>524</v>
      </c>
      <c r="D33" s="287" t="s">
        <v>486</v>
      </c>
      <c r="E33" s="310">
        <v>1</v>
      </c>
      <c r="F33" s="311" t="s">
        <v>525</v>
      </c>
      <c r="G33" s="77">
        <v>8.4</v>
      </c>
      <c r="H33" s="311">
        <v>3.5</v>
      </c>
      <c r="I33" s="297">
        <v>17697</v>
      </c>
      <c r="J33" s="307">
        <v>2</v>
      </c>
      <c r="K33" s="303">
        <f t="shared" si="1"/>
        <v>123879</v>
      </c>
      <c r="L33" s="307"/>
      <c r="M33" s="303"/>
      <c r="N33" s="303">
        <f t="shared" si="3"/>
        <v>12387.900000000001</v>
      </c>
      <c r="O33" s="307"/>
      <c r="P33" s="307"/>
      <c r="Q33" s="307"/>
      <c r="R33" s="307"/>
      <c r="S33" s="307"/>
      <c r="T33" s="307"/>
      <c r="U33" s="307"/>
      <c r="V33" s="303"/>
      <c r="W33" s="307"/>
      <c r="X33" s="307"/>
      <c r="Y33" s="307"/>
      <c r="Z33" s="303">
        <f t="shared" si="4"/>
        <v>136266.9</v>
      </c>
      <c r="AA33" s="303">
        <f t="shared" si="5"/>
        <v>1635202.7999999998</v>
      </c>
    </row>
    <row r="34" spans="1:27" s="147" customFormat="1" ht="42.75" customHeight="1" x14ac:dyDescent="0.2">
      <c r="A34" s="307">
        <v>17</v>
      </c>
      <c r="B34" s="315" t="s">
        <v>526</v>
      </c>
      <c r="C34" s="308" t="s">
        <v>576</v>
      </c>
      <c r="D34" s="287" t="s">
        <v>483</v>
      </c>
      <c r="E34" s="314">
        <v>0.5</v>
      </c>
      <c r="F34" s="77" t="s">
        <v>528</v>
      </c>
      <c r="G34" s="77">
        <v>6</v>
      </c>
      <c r="H34" s="76">
        <v>3.08</v>
      </c>
      <c r="I34" s="297">
        <v>17697</v>
      </c>
      <c r="J34" s="307">
        <v>2</v>
      </c>
      <c r="K34" s="303">
        <f t="shared" si="1"/>
        <v>54506.76</v>
      </c>
      <c r="L34" s="307"/>
      <c r="M34" s="303"/>
      <c r="N34" s="303">
        <f t="shared" si="3"/>
        <v>5450.6760000000004</v>
      </c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3">
        <f t="shared" si="4"/>
        <v>59957.436000000002</v>
      </c>
      <c r="AA34" s="303">
        <f t="shared" si="5"/>
        <v>719489.23200000008</v>
      </c>
    </row>
    <row r="35" spans="1:27" s="147" customFormat="1" ht="36.75" customHeight="1" x14ac:dyDescent="0.25">
      <c r="A35" s="307">
        <v>18</v>
      </c>
      <c r="B35" s="58" t="s">
        <v>311</v>
      </c>
      <c r="C35" s="308" t="s">
        <v>530</v>
      </c>
      <c r="D35" s="287" t="s">
        <v>486</v>
      </c>
      <c r="E35" s="310">
        <v>0.5</v>
      </c>
      <c r="F35" s="288" t="s">
        <v>531</v>
      </c>
      <c r="G35" s="288">
        <v>11.5</v>
      </c>
      <c r="H35" s="310">
        <v>2.81</v>
      </c>
      <c r="I35" s="297">
        <v>17697</v>
      </c>
      <c r="J35" s="307">
        <v>2</v>
      </c>
      <c r="K35" s="303">
        <f t="shared" si="1"/>
        <v>49728.57</v>
      </c>
      <c r="L35" s="307"/>
      <c r="M35" s="321"/>
      <c r="N35" s="303">
        <f t="shared" si="3"/>
        <v>4972.857</v>
      </c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3">
        <f t="shared" si="4"/>
        <v>54701.426999999996</v>
      </c>
      <c r="AA35" s="303">
        <f t="shared" si="5"/>
        <v>656417.12399999995</v>
      </c>
    </row>
    <row r="36" spans="1:27" s="147" customFormat="1" ht="25.5" x14ac:dyDescent="0.2">
      <c r="A36" s="262">
        <v>19</v>
      </c>
      <c r="B36" s="58" t="s">
        <v>311</v>
      </c>
      <c r="C36" s="309" t="s">
        <v>532</v>
      </c>
      <c r="D36" s="287" t="s">
        <v>486</v>
      </c>
      <c r="E36" s="310">
        <v>1</v>
      </c>
      <c r="F36" s="288" t="s">
        <v>531</v>
      </c>
      <c r="G36" s="288"/>
      <c r="H36" s="310">
        <v>2.81</v>
      </c>
      <c r="I36" s="297">
        <v>17697</v>
      </c>
      <c r="J36" s="307">
        <v>2</v>
      </c>
      <c r="K36" s="303">
        <f t="shared" si="1"/>
        <v>99457.14</v>
      </c>
      <c r="L36" s="307"/>
      <c r="M36" s="303"/>
      <c r="N36" s="303">
        <f t="shared" si="3"/>
        <v>9945.7139999999999</v>
      </c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3">
        <f t="shared" si="4"/>
        <v>109402.85399999999</v>
      </c>
      <c r="AA36" s="303">
        <f t="shared" si="5"/>
        <v>1312834.2479999999</v>
      </c>
    </row>
    <row r="37" spans="1:27" s="147" customFormat="1" ht="25.5" x14ac:dyDescent="0.2">
      <c r="A37" s="307">
        <v>20</v>
      </c>
      <c r="B37" s="58" t="s">
        <v>533</v>
      </c>
      <c r="C37" s="309" t="s">
        <v>534</v>
      </c>
      <c r="D37" s="287" t="s">
        <v>486</v>
      </c>
      <c r="E37" s="310">
        <v>1</v>
      </c>
      <c r="F37" s="288" t="s">
        <v>535</v>
      </c>
      <c r="G37" s="288"/>
      <c r="H37" s="311">
        <v>2.86</v>
      </c>
      <c r="I37" s="297">
        <v>17697</v>
      </c>
      <c r="J37" s="307">
        <v>2</v>
      </c>
      <c r="K37" s="303">
        <f t="shared" si="1"/>
        <v>101226.84</v>
      </c>
      <c r="L37" s="307"/>
      <c r="M37" s="303"/>
      <c r="N37" s="303">
        <f t="shared" si="3"/>
        <v>10122.684000000001</v>
      </c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3">
        <f t="shared" si="4"/>
        <v>111349.524</v>
      </c>
      <c r="AA37" s="303">
        <f t="shared" si="5"/>
        <v>1336194.2880000002</v>
      </c>
    </row>
    <row r="38" spans="1:27" s="147" customFormat="1" ht="25.5" x14ac:dyDescent="0.2">
      <c r="A38" s="307">
        <v>21</v>
      </c>
      <c r="B38" s="308" t="s">
        <v>301</v>
      </c>
      <c r="C38" s="315" t="s">
        <v>536</v>
      </c>
      <c r="D38" s="287" t="s">
        <v>486</v>
      </c>
      <c r="E38" s="77">
        <v>1</v>
      </c>
      <c r="F38" s="77" t="s">
        <v>531</v>
      </c>
      <c r="G38" s="77"/>
      <c r="H38" s="310">
        <v>2.81</v>
      </c>
      <c r="I38" s="297">
        <v>17697</v>
      </c>
      <c r="J38" s="307">
        <v>2</v>
      </c>
      <c r="K38" s="303">
        <f t="shared" si="1"/>
        <v>99457.14</v>
      </c>
      <c r="L38" s="307"/>
      <c r="M38" s="303"/>
      <c r="N38" s="303">
        <f t="shared" si="3"/>
        <v>9945.7139999999999</v>
      </c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3">
        <f t="shared" si="4"/>
        <v>109402.85399999999</v>
      </c>
      <c r="AA38" s="303">
        <f t="shared" si="5"/>
        <v>1312834.2479999999</v>
      </c>
    </row>
    <row r="39" spans="1:27" s="147" customFormat="1" ht="38.25" x14ac:dyDescent="0.2">
      <c r="A39" s="307">
        <v>22</v>
      </c>
      <c r="B39" s="308" t="s">
        <v>463</v>
      </c>
      <c r="C39" s="315" t="s">
        <v>537</v>
      </c>
      <c r="D39" s="287" t="s">
        <v>486</v>
      </c>
      <c r="E39" s="77">
        <v>1</v>
      </c>
      <c r="F39" s="288" t="s">
        <v>531</v>
      </c>
      <c r="G39" s="77"/>
      <c r="H39" s="310">
        <v>2.81</v>
      </c>
      <c r="I39" s="297">
        <v>17697</v>
      </c>
      <c r="J39" s="307">
        <v>2</v>
      </c>
      <c r="K39" s="303">
        <f t="shared" si="1"/>
        <v>99457.14</v>
      </c>
      <c r="L39" s="307"/>
      <c r="M39" s="303"/>
      <c r="N39" s="303">
        <f t="shared" si="3"/>
        <v>9945.7139999999999</v>
      </c>
      <c r="O39" s="307"/>
      <c r="P39" s="307">
        <v>3539</v>
      </c>
      <c r="Q39" s="307"/>
      <c r="R39" s="307"/>
      <c r="S39" s="307"/>
      <c r="T39" s="307"/>
      <c r="U39" s="307"/>
      <c r="V39" s="307"/>
      <c r="W39" s="307"/>
      <c r="X39" s="307"/>
      <c r="Y39" s="307"/>
      <c r="Z39" s="303">
        <f t="shared" ref="Z39:Z42" si="6">SUM(K39:Y39)</f>
        <v>112941.85399999999</v>
      </c>
      <c r="AA39" s="303">
        <f t="shared" si="5"/>
        <v>1355302.2479999999</v>
      </c>
    </row>
    <row r="40" spans="1:27" s="147" customFormat="1" ht="25.5" x14ac:dyDescent="0.2">
      <c r="A40" s="307">
        <v>23</v>
      </c>
      <c r="B40" s="308" t="s">
        <v>463</v>
      </c>
      <c r="C40" s="315" t="s">
        <v>538</v>
      </c>
      <c r="D40" s="287" t="s">
        <v>486</v>
      </c>
      <c r="E40" s="77">
        <v>1</v>
      </c>
      <c r="F40" s="288" t="s">
        <v>531</v>
      </c>
      <c r="G40" s="316"/>
      <c r="H40" s="310">
        <v>2.81</v>
      </c>
      <c r="I40" s="297">
        <v>17697</v>
      </c>
      <c r="J40" s="307">
        <v>2</v>
      </c>
      <c r="K40" s="303">
        <f t="shared" si="1"/>
        <v>99457.14</v>
      </c>
      <c r="L40" s="307"/>
      <c r="M40" s="303"/>
      <c r="N40" s="303">
        <f t="shared" si="3"/>
        <v>9945.7139999999999</v>
      </c>
      <c r="O40" s="307"/>
      <c r="P40" s="307">
        <v>3539</v>
      </c>
      <c r="Q40" s="307"/>
      <c r="R40" s="307"/>
      <c r="S40" s="307"/>
      <c r="T40" s="307"/>
      <c r="U40" s="307"/>
      <c r="V40" s="307"/>
      <c r="W40" s="307"/>
      <c r="X40" s="307"/>
      <c r="Y40" s="307"/>
      <c r="Z40" s="303">
        <f t="shared" si="6"/>
        <v>112941.85399999999</v>
      </c>
      <c r="AA40" s="303">
        <f t="shared" si="5"/>
        <v>1355302.2479999999</v>
      </c>
    </row>
    <row r="41" spans="1:27" s="147" customFormat="1" ht="38.25" customHeight="1" x14ac:dyDescent="0.2">
      <c r="A41" s="307">
        <v>24</v>
      </c>
      <c r="B41" s="308" t="s">
        <v>463</v>
      </c>
      <c r="C41" s="315" t="s">
        <v>600</v>
      </c>
      <c r="D41" s="287" t="s">
        <v>486</v>
      </c>
      <c r="E41" s="77">
        <v>0.75</v>
      </c>
      <c r="F41" s="288" t="s">
        <v>531</v>
      </c>
      <c r="G41" s="288"/>
      <c r="H41" s="310">
        <v>2.81</v>
      </c>
      <c r="I41" s="297">
        <v>17697</v>
      </c>
      <c r="J41" s="307">
        <v>2</v>
      </c>
      <c r="K41" s="303">
        <f t="shared" si="1"/>
        <v>74592.854999999996</v>
      </c>
      <c r="L41" s="307"/>
      <c r="M41" s="303"/>
      <c r="N41" s="303">
        <f t="shared" si="3"/>
        <v>7459.2855</v>
      </c>
      <c r="O41" s="307"/>
      <c r="P41" s="307">
        <v>3539</v>
      </c>
      <c r="Q41" s="307"/>
      <c r="R41" s="307"/>
      <c r="S41" s="307"/>
      <c r="T41" s="307"/>
      <c r="U41" s="307"/>
      <c r="V41" s="307"/>
      <c r="W41" s="307"/>
      <c r="X41" s="307"/>
      <c r="Y41" s="307"/>
      <c r="Z41" s="303">
        <f t="shared" si="6"/>
        <v>85591.140499999994</v>
      </c>
      <c r="AA41" s="303">
        <f t="shared" si="5"/>
        <v>1027093.686</v>
      </c>
    </row>
    <row r="42" spans="1:27" s="147" customFormat="1" ht="25.5" x14ac:dyDescent="0.2">
      <c r="A42" s="307">
        <v>25</v>
      </c>
      <c r="B42" s="308" t="s">
        <v>463</v>
      </c>
      <c r="C42" s="315" t="s">
        <v>539</v>
      </c>
      <c r="D42" s="287" t="s">
        <v>486</v>
      </c>
      <c r="E42" s="77">
        <v>1</v>
      </c>
      <c r="F42" s="288" t="s">
        <v>531</v>
      </c>
      <c r="G42" s="77"/>
      <c r="H42" s="310">
        <v>2.81</v>
      </c>
      <c r="I42" s="297">
        <v>17697</v>
      </c>
      <c r="J42" s="307">
        <v>2</v>
      </c>
      <c r="K42" s="303">
        <f t="shared" si="1"/>
        <v>99457.14</v>
      </c>
      <c r="L42" s="307"/>
      <c r="M42" s="303"/>
      <c r="N42" s="303">
        <f t="shared" si="3"/>
        <v>9945.7139999999999</v>
      </c>
      <c r="O42" s="307"/>
      <c r="P42" s="307">
        <v>14157</v>
      </c>
      <c r="Q42" s="307"/>
      <c r="R42" s="307"/>
      <c r="S42" s="307"/>
      <c r="T42" s="307"/>
      <c r="U42" s="307"/>
      <c r="V42" s="307"/>
      <c r="W42" s="307"/>
      <c r="X42" s="307"/>
      <c r="Y42" s="307"/>
      <c r="Z42" s="303">
        <f t="shared" si="6"/>
        <v>123559.85399999999</v>
      </c>
      <c r="AA42" s="303">
        <f t="shared" si="5"/>
        <v>1482718.2479999999</v>
      </c>
    </row>
    <row r="43" spans="1:27" s="147" customFormat="1" ht="25.5" x14ac:dyDescent="0.2">
      <c r="A43" s="307">
        <v>26</v>
      </c>
      <c r="B43" s="308" t="s">
        <v>496</v>
      </c>
      <c r="C43" s="315" t="s">
        <v>540</v>
      </c>
      <c r="D43" s="287" t="s">
        <v>486</v>
      </c>
      <c r="E43" s="310">
        <v>1</v>
      </c>
      <c r="F43" s="288" t="s">
        <v>531</v>
      </c>
      <c r="G43" s="288"/>
      <c r="H43" s="310">
        <v>2.81</v>
      </c>
      <c r="I43" s="297">
        <v>17697</v>
      </c>
      <c r="J43" s="307">
        <v>2</v>
      </c>
      <c r="K43" s="303">
        <f t="shared" si="1"/>
        <v>99457.14</v>
      </c>
      <c r="L43" s="307"/>
      <c r="M43" s="303"/>
      <c r="N43" s="303">
        <f t="shared" si="3"/>
        <v>9945.7139999999999</v>
      </c>
      <c r="O43" s="307"/>
      <c r="P43" s="307"/>
      <c r="Q43" s="307"/>
      <c r="R43" s="307"/>
      <c r="S43" s="307">
        <v>20176</v>
      </c>
      <c r="T43" s="307"/>
      <c r="U43" s="307"/>
      <c r="V43" s="307"/>
      <c r="W43" s="307"/>
      <c r="X43" s="307"/>
      <c r="Y43" s="307"/>
      <c r="Z43" s="303">
        <v>113716</v>
      </c>
      <c r="AA43" s="303">
        <f t="shared" si="5"/>
        <v>1364592</v>
      </c>
    </row>
    <row r="44" spans="1:27" s="147" customFormat="1" ht="38.25" x14ac:dyDescent="0.2">
      <c r="A44" s="307">
        <v>27</v>
      </c>
      <c r="B44" s="308" t="s">
        <v>496</v>
      </c>
      <c r="C44" s="315" t="s">
        <v>541</v>
      </c>
      <c r="D44" s="287" t="s">
        <v>486</v>
      </c>
      <c r="E44" s="310">
        <v>1</v>
      </c>
      <c r="F44" s="288" t="s">
        <v>531</v>
      </c>
      <c r="G44" s="288"/>
      <c r="H44" s="310">
        <v>2.81</v>
      </c>
      <c r="I44" s="297">
        <v>17697</v>
      </c>
      <c r="J44" s="307">
        <v>2</v>
      </c>
      <c r="K44" s="303">
        <f t="shared" si="1"/>
        <v>99457.14</v>
      </c>
      <c r="L44" s="307"/>
      <c r="M44" s="303"/>
      <c r="N44" s="303">
        <f t="shared" si="3"/>
        <v>9945.7139999999999</v>
      </c>
      <c r="O44" s="307"/>
      <c r="P44" s="307"/>
      <c r="Q44" s="307"/>
      <c r="R44" s="307"/>
      <c r="S44" s="307">
        <v>20176</v>
      </c>
      <c r="T44" s="307"/>
      <c r="U44" s="307"/>
      <c r="V44" s="307"/>
      <c r="W44" s="307"/>
      <c r="X44" s="307"/>
      <c r="Y44" s="307"/>
      <c r="Z44" s="303">
        <v>113716</v>
      </c>
      <c r="AA44" s="303">
        <f t="shared" si="5"/>
        <v>1364592</v>
      </c>
    </row>
    <row r="45" spans="1:27" s="147" customFormat="1" ht="25.5" x14ac:dyDescent="0.2">
      <c r="A45" s="262">
        <v>28</v>
      </c>
      <c r="B45" s="308" t="s">
        <v>496</v>
      </c>
      <c r="C45" s="315" t="s">
        <v>542</v>
      </c>
      <c r="D45" s="287" t="s">
        <v>486</v>
      </c>
      <c r="E45" s="314">
        <v>1</v>
      </c>
      <c r="F45" s="288" t="s">
        <v>531</v>
      </c>
      <c r="G45" s="288"/>
      <c r="H45" s="310">
        <v>2.81</v>
      </c>
      <c r="I45" s="297">
        <v>17697</v>
      </c>
      <c r="J45" s="307">
        <v>2</v>
      </c>
      <c r="K45" s="303">
        <f t="shared" si="1"/>
        <v>99457.14</v>
      </c>
      <c r="L45" s="307"/>
      <c r="M45" s="303"/>
      <c r="N45" s="303">
        <f t="shared" si="3"/>
        <v>9945.7139999999999</v>
      </c>
      <c r="O45" s="307"/>
      <c r="P45" s="307"/>
      <c r="Q45" s="307"/>
      <c r="R45" s="307"/>
      <c r="S45" s="307">
        <v>20176</v>
      </c>
      <c r="T45" s="307"/>
      <c r="U45" s="307"/>
      <c r="V45" s="307"/>
      <c r="W45" s="307"/>
      <c r="X45" s="307"/>
      <c r="Y45" s="307"/>
      <c r="Z45" s="303">
        <v>113716</v>
      </c>
      <c r="AA45" s="303">
        <f t="shared" si="5"/>
        <v>1364592</v>
      </c>
    </row>
    <row r="46" spans="1:27" s="147" customFormat="1" ht="35.25" customHeight="1" x14ac:dyDescent="0.2">
      <c r="A46" s="307">
        <v>29</v>
      </c>
      <c r="B46" s="317" t="s">
        <v>605</v>
      </c>
      <c r="C46" s="315" t="s">
        <v>603</v>
      </c>
      <c r="D46" s="287" t="s">
        <v>486</v>
      </c>
      <c r="E46" s="310">
        <v>0.5</v>
      </c>
      <c r="F46" s="288" t="s">
        <v>535</v>
      </c>
      <c r="G46" s="77"/>
      <c r="H46" s="311">
        <v>2.86</v>
      </c>
      <c r="I46" s="297">
        <v>17697</v>
      </c>
      <c r="J46" s="307">
        <v>2</v>
      </c>
      <c r="K46" s="303">
        <f t="shared" si="1"/>
        <v>50613.42</v>
      </c>
      <c r="L46" s="307"/>
      <c r="M46" s="303"/>
      <c r="N46" s="303">
        <f t="shared" si="3"/>
        <v>5061.3420000000006</v>
      </c>
      <c r="O46" s="307"/>
      <c r="P46" s="307"/>
      <c r="Q46" s="307"/>
      <c r="R46" s="307"/>
      <c r="S46" s="307">
        <v>10195</v>
      </c>
      <c r="T46" s="307"/>
      <c r="U46" s="307"/>
      <c r="V46" s="307"/>
      <c r="W46" s="307"/>
      <c r="X46" s="307"/>
      <c r="Y46" s="307"/>
      <c r="Z46" s="303">
        <f t="shared" ref="Z46:Z48" si="7">SUM(K46:Y46)</f>
        <v>65869.762000000002</v>
      </c>
      <c r="AA46" s="303">
        <f t="shared" si="5"/>
        <v>790437.14400000009</v>
      </c>
    </row>
    <row r="47" spans="1:27" s="147" customFormat="1" ht="25.5" x14ac:dyDescent="0.2">
      <c r="A47" s="307">
        <v>30</v>
      </c>
      <c r="B47" s="308" t="s">
        <v>605</v>
      </c>
      <c r="C47" s="315" t="s">
        <v>601</v>
      </c>
      <c r="D47" s="77" t="s">
        <v>486</v>
      </c>
      <c r="E47" s="77">
        <v>0.5</v>
      </c>
      <c r="F47" s="288" t="s">
        <v>535</v>
      </c>
      <c r="G47" s="77"/>
      <c r="H47" s="311">
        <v>2.86</v>
      </c>
      <c r="I47" s="297">
        <v>17697</v>
      </c>
      <c r="J47" s="307">
        <v>2</v>
      </c>
      <c r="K47" s="303">
        <f t="shared" si="1"/>
        <v>50613.42</v>
      </c>
      <c r="L47" s="307"/>
      <c r="M47" s="303"/>
      <c r="N47" s="303">
        <f t="shared" si="3"/>
        <v>5061.3420000000006</v>
      </c>
      <c r="O47" s="307"/>
      <c r="P47" s="307"/>
      <c r="Q47" s="307"/>
      <c r="R47" s="307"/>
      <c r="S47" s="307">
        <v>10195</v>
      </c>
      <c r="T47" s="307"/>
      <c r="U47" s="307"/>
      <c r="V47" s="307"/>
      <c r="W47" s="307"/>
      <c r="X47" s="307"/>
      <c r="Y47" s="307"/>
      <c r="Z47" s="303">
        <f t="shared" si="7"/>
        <v>65869.762000000002</v>
      </c>
      <c r="AA47" s="303">
        <f t="shared" si="5"/>
        <v>790437.14400000009</v>
      </c>
    </row>
    <row r="48" spans="1:27" s="147" customFormat="1" ht="25.5" x14ac:dyDescent="0.2">
      <c r="A48" s="307">
        <v>31</v>
      </c>
      <c r="B48" s="308" t="s">
        <v>605</v>
      </c>
      <c r="C48" s="315" t="s">
        <v>602</v>
      </c>
      <c r="D48" s="77" t="s">
        <v>486</v>
      </c>
      <c r="E48" s="77">
        <v>0.5</v>
      </c>
      <c r="F48" s="288" t="s">
        <v>535</v>
      </c>
      <c r="G48" s="310"/>
      <c r="H48" s="311">
        <v>2.86</v>
      </c>
      <c r="I48" s="297">
        <v>17697</v>
      </c>
      <c r="J48" s="307">
        <v>2</v>
      </c>
      <c r="K48" s="303">
        <f t="shared" si="1"/>
        <v>50613.42</v>
      </c>
      <c r="L48" s="307"/>
      <c r="M48" s="303"/>
      <c r="N48" s="303">
        <f t="shared" si="3"/>
        <v>5061.3420000000006</v>
      </c>
      <c r="O48" s="307"/>
      <c r="P48" s="307"/>
      <c r="Q48" s="307"/>
      <c r="R48" s="307"/>
      <c r="S48" s="307">
        <v>10195</v>
      </c>
      <c r="T48" s="307"/>
      <c r="U48" s="307"/>
      <c r="V48" s="307"/>
      <c r="W48" s="307"/>
      <c r="X48" s="307"/>
      <c r="Y48" s="307"/>
      <c r="Z48" s="303">
        <f t="shared" si="7"/>
        <v>65869.762000000002</v>
      </c>
      <c r="AA48" s="303">
        <f t="shared" si="5"/>
        <v>790437.14400000009</v>
      </c>
    </row>
    <row r="49" spans="1:9" s="101" customFormat="1" ht="33.75" customHeight="1" x14ac:dyDescent="0.2">
      <c r="A49" s="280"/>
      <c r="B49" s="279"/>
    </row>
    <row r="50" spans="1:9" ht="28.5" customHeight="1" x14ac:dyDescent="0.3">
      <c r="B50" s="281" t="s">
        <v>586</v>
      </c>
      <c r="C50" s="282"/>
      <c r="D50" s="283"/>
      <c r="E50" s="225"/>
      <c r="F50" s="225"/>
      <c r="G50" s="225"/>
      <c r="H50" s="284"/>
      <c r="I50" s="229"/>
    </row>
    <row r="51" spans="1:9" ht="23.25" customHeight="1" x14ac:dyDescent="0.3">
      <c r="B51" s="281" t="s">
        <v>585</v>
      </c>
      <c r="C51" s="282"/>
      <c r="D51" s="283"/>
      <c r="E51" s="225"/>
      <c r="F51" s="285"/>
      <c r="G51" s="285"/>
      <c r="H51" s="284"/>
      <c r="I51" s="229"/>
    </row>
    <row r="52" spans="1:9" ht="9.75" customHeight="1" x14ac:dyDescent="0.2">
      <c r="B52" s="225"/>
      <c r="C52" s="282"/>
      <c r="D52" s="283"/>
      <c r="E52" s="225"/>
      <c r="F52" s="225"/>
      <c r="G52" s="225"/>
      <c r="H52" s="284"/>
      <c r="I52" s="229"/>
    </row>
    <row r="53" spans="1:9" ht="17.25" customHeight="1" x14ac:dyDescent="0.3">
      <c r="B53" s="281" t="s">
        <v>584</v>
      </c>
      <c r="C53" s="282"/>
      <c r="D53" s="283"/>
      <c r="E53" s="225"/>
      <c r="F53" s="225"/>
      <c r="G53" s="225"/>
      <c r="H53" s="284"/>
      <c r="I53" s="229"/>
    </row>
    <row r="54" spans="1:9" ht="9.75" customHeight="1" x14ac:dyDescent="0.2">
      <c r="B54" s="225"/>
      <c r="C54" s="282"/>
      <c r="D54" s="283"/>
      <c r="E54" s="225"/>
      <c r="F54" s="225"/>
      <c r="G54" s="225"/>
      <c r="H54" s="284"/>
      <c r="I54" s="229"/>
    </row>
    <row r="55" spans="1:9" ht="17.25" customHeight="1" x14ac:dyDescent="0.3">
      <c r="B55" s="281" t="s">
        <v>543</v>
      </c>
      <c r="C55" s="282"/>
      <c r="D55" s="283"/>
      <c r="E55" s="225"/>
      <c r="F55" s="225"/>
      <c r="G55" s="225"/>
      <c r="H55" s="284"/>
      <c r="I55" s="229"/>
    </row>
  </sheetData>
  <mergeCells count="18">
    <mergeCell ref="J14:J15"/>
    <mergeCell ref="K14:K15"/>
    <mergeCell ref="L14:L15"/>
    <mergeCell ref="M14:M15"/>
    <mergeCell ref="N14:T14"/>
    <mergeCell ref="A12:AA12"/>
    <mergeCell ref="A14:A15"/>
    <mergeCell ref="B14:B15"/>
    <mergeCell ref="C14:C15"/>
    <mergeCell ref="D14:D15"/>
    <mergeCell ref="E14:E15"/>
    <mergeCell ref="F14:F15"/>
    <mergeCell ref="G14:G15"/>
    <mergeCell ref="H14:H15"/>
    <mergeCell ref="U14:Y14"/>
    <mergeCell ref="Z14:Z15"/>
    <mergeCell ref="AA14:AA15"/>
    <mergeCell ref="I14:I15"/>
  </mergeCells>
  <printOptions horizontalCentered="1"/>
  <pageMargins left="0" right="0" top="0.31496062992125984" bottom="0.27559055118110237" header="0" footer="0"/>
  <pageSetup paperSize="9" scale="54" orientation="landscape" r:id="rId1"/>
  <rowBreaks count="1" manualBreakCount="1">
    <brk id="30" max="26" man="1"/>
  </rowBreaks>
  <colBreaks count="1" manualBreakCount="1">
    <brk id="2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O50"/>
  <sheetViews>
    <sheetView topLeftCell="A19" zoomScale="70" zoomScaleNormal="70" zoomScaleSheetLayoutView="40" workbookViewId="0">
      <selection activeCell="D3" sqref="D3"/>
    </sheetView>
  </sheetViews>
  <sheetFormatPr defaultColWidth="16.42578125" defaultRowHeight="15" x14ac:dyDescent="0.2"/>
  <cols>
    <col min="1" max="1" width="12.140625" style="248" customWidth="1"/>
    <col min="2" max="2" width="40.85546875" style="248" customWidth="1"/>
    <col min="3" max="3" width="16.42578125" style="248" customWidth="1"/>
    <col min="4" max="4" width="10" style="248" customWidth="1"/>
    <col min="5" max="5" width="12.5703125" style="249" customWidth="1"/>
    <col min="6" max="6" width="9.140625" style="250" customWidth="1"/>
    <col min="7" max="7" width="8.42578125" style="251" customWidth="1"/>
    <col min="8" max="8" width="11.28515625" style="252" customWidth="1"/>
    <col min="9" max="9" width="11" style="253" customWidth="1"/>
    <col min="10" max="10" width="11.7109375" style="252" customWidth="1"/>
    <col min="11" max="11" width="10" style="248" customWidth="1"/>
    <col min="12" max="12" width="9.7109375" style="248" customWidth="1"/>
    <col min="13" max="13" width="15.85546875" style="252" customWidth="1"/>
    <col min="14" max="14" width="8.140625" style="248" customWidth="1"/>
    <col min="15" max="15" width="15.85546875" style="252" customWidth="1"/>
    <col min="16" max="16" width="9.140625" style="248" customWidth="1"/>
    <col min="17" max="17" width="15.140625" style="252" customWidth="1"/>
    <col min="18" max="18" width="16.42578125" style="248" customWidth="1"/>
    <col min="19" max="19" width="21.140625" style="252" customWidth="1"/>
    <col min="20" max="20" width="16.42578125" style="254" customWidth="1"/>
    <col min="21" max="21" width="7" style="248" customWidth="1"/>
    <col min="22" max="22" width="11.140625" style="252" customWidth="1"/>
    <col min="23" max="23" width="7.28515625" style="255" customWidth="1"/>
    <col min="24" max="24" width="10.7109375" style="252" customWidth="1"/>
    <col min="25" max="25" width="8" customWidth="1"/>
    <col min="26" max="26" width="10.42578125" style="41" customWidth="1"/>
    <col min="27" max="27" width="8.7109375" style="34" customWidth="1"/>
    <col min="28" max="28" width="12.5703125" style="252" customWidth="1"/>
    <col min="29" max="29" width="13.28515625" style="252" customWidth="1"/>
    <col min="30" max="30" width="11" style="252" customWidth="1"/>
    <col min="31" max="31" width="16.42578125" style="248" customWidth="1"/>
    <col min="32" max="32" width="9.140625" style="248" customWidth="1"/>
    <col min="33" max="33" width="12.5703125" style="248" customWidth="1"/>
    <col min="34" max="37" width="16.42578125" style="248" customWidth="1"/>
    <col min="38" max="38" width="8.85546875" style="248" customWidth="1"/>
    <col min="39" max="40" width="16.42578125" style="252" customWidth="1"/>
    <col min="41" max="16384" width="16.42578125" style="248"/>
  </cols>
  <sheetData>
    <row r="1" spans="1:41" s="227" customFormat="1" ht="17.25" customHeight="1" x14ac:dyDescent="0.25">
      <c r="A1" s="224" t="s">
        <v>499</v>
      </c>
      <c r="B1" s="221"/>
      <c r="C1" s="221"/>
      <c r="D1" s="221"/>
      <c r="E1" s="230"/>
      <c r="F1" s="230"/>
      <c r="G1" s="221"/>
      <c r="H1" s="246"/>
      <c r="I1" s="221"/>
      <c r="J1" s="221"/>
      <c r="K1" s="230"/>
      <c r="L1" s="230"/>
      <c r="M1" s="230"/>
      <c r="N1" s="230"/>
      <c r="O1" s="230"/>
      <c r="P1" s="224" t="s">
        <v>489</v>
      </c>
      <c r="Q1" s="221"/>
      <c r="R1" s="221"/>
      <c r="S1" s="221"/>
      <c r="T1" s="230"/>
      <c r="AA1" s="5"/>
      <c r="AB1" s="221"/>
      <c r="AC1" s="221"/>
      <c r="AD1" s="221"/>
      <c r="AE1" s="221"/>
      <c r="AF1" s="231"/>
      <c r="AG1" s="231"/>
      <c r="AH1" s="231"/>
      <c r="AI1" s="231"/>
      <c r="AJ1" s="231"/>
      <c r="AK1" s="231"/>
      <c r="AL1" s="231"/>
      <c r="AM1" s="230"/>
      <c r="AN1" s="230"/>
    </row>
    <row r="2" spans="1:41" s="227" customFormat="1" ht="17.25" customHeight="1" x14ac:dyDescent="0.25">
      <c r="A2" s="220" t="s">
        <v>490</v>
      </c>
      <c r="B2" s="221"/>
      <c r="C2" s="221"/>
      <c r="D2" s="221"/>
      <c r="E2" s="230"/>
      <c r="F2" s="230"/>
      <c r="G2" s="221"/>
      <c r="H2" s="246"/>
      <c r="I2" s="221"/>
      <c r="J2" s="221"/>
      <c r="K2" s="230"/>
      <c r="L2" s="230"/>
      <c r="M2" s="230"/>
      <c r="N2" s="230"/>
      <c r="O2" s="230"/>
      <c r="P2" s="220" t="s">
        <v>490</v>
      </c>
      <c r="Q2" s="221"/>
      <c r="R2" s="221"/>
      <c r="S2" s="221"/>
      <c r="T2" s="230"/>
      <c r="AA2" s="5"/>
      <c r="AB2" s="221"/>
      <c r="AC2" s="221"/>
      <c r="AD2" s="221"/>
      <c r="AE2" s="221"/>
      <c r="AF2" s="231"/>
      <c r="AG2" s="231"/>
      <c r="AH2" s="231"/>
      <c r="AI2" s="231"/>
      <c r="AJ2" s="231"/>
      <c r="AK2" s="231"/>
      <c r="AL2" s="231"/>
      <c r="AM2" s="230"/>
      <c r="AN2" s="230"/>
    </row>
    <row r="3" spans="1:41" s="227" customFormat="1" ht="17.25" customHeight="1" x14ac:dyDescent="0.25">
      <c r="A3" s="224" t="s">
        <v>581</v>
      </c>
      <c r="B3" s="221"/>
      <c r="C3" s="221"/>
      <c r="D3" s="221"/>
      <c r="E3" s="230"/>
      <c r="F3" s="230"/>
      <c r="G3" s="221"/>
      <c r="H3" s="246"/>
      <c r="I3" s="221"/>
      <c r="J3" s="221"/>
      <c r="K3" s="230"/>
      <c r="L3" s="230"/>
      <c r="M3" s="230"/>
      <c r="N3" s="230"/>
      <c r="O3" s="230"/>
      <c r="P3" s="224" t="s">
        <v>581</v>
      </c>
      <c r="Q3" s="221"/>
      <c r="R3" s="221"/>
      <c r="S3" s="221"/>
      <c r="T3" s="230"/>
      <c r="AA3" s="5"/>
      <c r="AB3" s="221"/>
      <c r="AC3" s="221"/>
      <c r="AD3" s="221"/>
      <c r="AE3" s="221"/>
      <c r="AF3" s="231"/>
      <c r="AG3" s="231"/>
      <c r="AH3" s="231"/>
      <c r="AI3" s="231"/>
      <c r="AJ3" s="231"/>
      <c r="AK3" s="231"/>
      <c r="AL3" s="231"/>
      <c r="AM3" s="230"/>
      <c r="AN3" s="230"/>
    </row>
    <row r="4" spans="1:41" s="227" customFormat="1" ht="17.25" customHeight="1" x14ac:dyDescent="0.25">
      <c r="A4" s="224" t="s">
        <v>596</v>
      </c>
      <c r="B4" s="221"/>
      <c r="C4" s="221"/>
      <c r="D4" s="221"/>
      <c r="E4" s="230"/>
      <c r="F4" s="230"/>
      <c r="G4" s="221"/>
      <c r="H4" s="246"/>
      <c r="I4" s="221"/>
      <c r="J4" s="221"/>
      <c r="K4" s="230"/>
      <c r="L4" s="230"/>
      <c r="M4" s="230"/>
      <c r="N4" s="230"/>
      <c r="O4" s="230"/>
      <c r="P4" s="224" t="s">
        <v>582</v>
      </c>
      <c r="Q4" s="221"/>
      <c r="R4" s="221"/>
      <c r="S4" s="221"/>
      <c r="T4" s="230"/>
      <c r="AA4" s="5"/>
      <c r="AB4" s="221"/>
      <c r="AC4" s="221"/>
      <c r="AD4" s="221"/>
      <c r="AE4" s="221"/>
      <c r="AF4" s="231"/>
      <c r="AG4" s="231"/>
      <c r="AH4" s="231"/>
      <c r="AI4" s="231"/>
      <c r="AJ4" s="231"/>
      <c r="AK4" s="231"/>
      <c r="AL4" s="231"/>
      <c r="AM4" s="230"/>
      <c r="AN4" s="230"/>
    </row>
    <row r="5" spans="1:41" s="227" customFormat="1" ht="17.25" customHeight="1" x14ac:dyDescent="0.25">
      <c r="A5" s="224" t="s">
        <v>573</v>
      </c>
      <c r="B5" s="221"/>
      <c r="C5" s="221"/>
      <c r="D5" s="221"/>
      <c r="E5" s="230"/>
      <c r="F5" s="230"/>
      <c r="G5" s="221"/>
      <c r="H5" s="246"/>
      <c r="I5" s="221"/>
      <c r="J5" s="221"/>
      <c r="K5" s="230"/>
      <c r="L5" s="230"/>
      <c r="M5" s="230"/>
      <c r="N5" s="230"/>
      <c r="O5" s="230"/>
      <c r="P5" s="224" t="s">
        <v>544</v>
      </c>
      <c r="Q5" s="221"/>
      <c r="R5" s="221"/>
      <c r="S5" s="221"/>
      <c r="T5" s="230"/>
      <c r="AA5" s="5"/>
      <c r="AB5" s="221"/>
      <c r="AC5" s="221"/>
      <c r="AD5" s="221"/>
      <c r="AE5" s="221"/>
      <c r="AF5" s="231"/>
      <c r="AG5" s="231"/>
      <c r="AH5" s="231"/>
      <c r="AI5" s="231"/>
      <c r="AJ5" s="231"/>
      <c r="AK5" s="231"/>
      <c r="AL5" s="231"/>
      <c r="AM5" s="230"/>
      <c r="AN5" s="230"/>
    </row>
    <row r="6" spans="1:41" s="227" customFormat="1" ht="39" customHeight="1" x14ac:dyDescent="0.2">
      <c r="A6" s="361" t="s">
        <v>610</v>
      </c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222" t="s">
        <v>611</v>
      </c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</row>
    <row r="7" spans="1:41" s="239" customFormat="1" ht="18" customHeight="1" x14ac:dyDescent="0.2">
      <c r="A7" s="377" t="s">
        <v>22</v>
      </c>
      <c r="B7" s="377" t="s">
        <v>23</v>
      </c>
      <c r="C7" s="377" t="s">
        <v>24</v>
      </c>
      <c r="D7" s="380" t="s">
        <v>25</v>
      </c>
      <c r="E7" s="380" t="s">
        <v>35</v>
      </c>
      <c r="F7" s="398" t="s">
        <v>26</v>
      </c>
      <c r="G7" s="380" t="s">
        <v>27</v>
      </c>
      <c r="H7" s="369" t="s">
        <v>58</v>
      </c>
      <c r="I7" s="394" t="s">
        <v>57</v>
      </c>
      <c r="J7" s="369" t="s">
        <v>53</v>
      </c>
      <c r="K7" s="380" t="s">
        <v>28</v>
      </c>
      <c r="L7" s="388" t="s">
        <v>29</v>
      </c>
      <c r="M7" s="389"/>
      <c r="N7" s="389"/>
      <c r="O7" s="389"/>
      <c r="P7" s="389"/>
      <c r="Q7" s="390"/>
      <c r="R7" s="370" t="s">
        <v>60</v>
      </c>
      <c r="S7" s="373" t="s">
        <v>42</v>
      </c>
      <c r="T7" s="376">
        <v>0.1</v>
      </c>
      <c r="U7" s="381" t="s">
        <v>466</v>
      </c>
      <c r="V7" s="382"/>
      <c r="W7" s="382"/>
      <c r="X7" s="383"/>
      <c r="Y7" s="384" t="s">
        <v>468</v>
      </c>
      <c r="Z7" s="384"/>
      <c r="AA7" s="384"/>
      <c r="AB7" s="385"/>
      <c r="AC7" s="378" t="s">
        <v>469</v>
      </c>
      <c r="AD7" s="378" t="s">
        <v>471</v>
      </c>
      <c r="AE7" s="399" t="s">
        <v>65</v>
      </c>
      <c r="AF7" s="401" t="s">
        <v>500</v>
      </c>
      <c r="AG7" s="385"/>
      <c r="AH7" s="379" t="s">
        <v>470</v>
      </c>
      <c r="AI7" s="379" t="s">
        <v>44</v>
      </c>
      <c r="AJ7" s="379"/>
      <c r="AK7" s="379"/>
      <c r="AL7" s="379"/>
      <c r="AM7" s="369" t="s">
        <v>66</v>
      </c>
      <c r="AN7" s="369" t="s">
        <v>67</v>
      </c>
    </row>
    <row r="8" spans="1:41" s="239" customFormat="1" ht="32.25" customHeight="1" x14ac:dyDescent="0.2">
      <c r="A8" s="377"/>
      <c r="B8" s="377"/>
      <c r="C8" s="377"/>
      <c r="D8" s="380"/>
      <c r="E8" s="380"/>
      <c r="F8" s="398"/>
      <c r="G8" s="380"/>
      <c r="H8" s="369"/>
      <c r="I8" s="395"/>
      <c r="J8" s="369"/>
      <c r="K8" s="380"/>
      <c r="L8" s="391"/>
      <c r="M8" s="392"/>
      <c r="N8" s="392"/>
      <c r="O8" s="392"/>
      <c r="P8" s="392"/>
      <c r="Q8" s="393"/>
      <c r="R8" s="371"/>
      <c r="S8" s="374"/>
      <c r="T8" s="376"/>
      <c r="U8" s="377" t="s">
        <v>464</v>
      </c>
      <c r="V8" s="377"/>
      <c r="W8" s="377" t="s">
        <v>467</v>
      </c>
      <c r="X8" s="377"/>
      <c r="Y8" s="386"/>
      <c r="Z8" s="386"/>
      <c r="AA8" s="386"/>
      <c r="AB8" s="387"/>
      <c r="AC8" s="378"/>
      <c r="AD8" s="378"/>
      <c r="AE8" s="399"/>
      <c r="AF8" s="402"/>
      <c r="AG8" s="403"/>
      <c r="AH8" s="379"/>
      <c r="AI8" s="378" t="s">
        <v>493</v>
      </c>
      <c r="AJ8" s="378" t="s">
        <v>46</v>
      </c>
      <c r="AK8" s="378" t="s">
        <v>49</v>
      </c>
      <c r="AL8" s="378" t="s">
        <v>47</v>
      </c>
      <c r="AM8" s="369"/>
      <c r="AN8" s="369"/>
    </row>
    <row r="9" spans="1:41" s="239" customFormat="1" ht="35.25" customHeight="1" x14ac:dyDescent="0.2">
      <c r="A9" s="377"/>
      <c r="B9" s="377"/>
      <c r="C9" s="377"/>
      <c r="D9" s="380"/>
      <c r="E9" s="380"/>
      <c r="F9" s="398"/>
      <c r="G9" s="380"/>
      <c r="H9" s="369"/>
      <c r="I9" s="396"/>
      <c r="J9" s="369"/>
      <c r="K9" s="380"/>
      <c r="L9" s="262" t="s">
        <v>465</v>
      </c>
      <c r="M9" s="261" t="s">
        <v>472</v>
      </c>
      <c r="N9" s="262" t="s">
        <v>491</v>
      </c>
      <c r="O9" s="261" t="s">
        <v>472</v>
      </c>
      <c r="P9" s="262" t="s">
        <v>492</v>
      </c>
      <c r="Q9" s="261" t="s">
        <v>472</v>
      </c>
      <c r="R9" s="372"/>
      <c r="S9" s="375"/>
      <c r="T9" s="377"/>
      <c r="U9" s="263">
        <v>0.5</v>
      </c>
      <c r="V9" s="240" t="s">
        <v>472</v>
      </c>
      <c r="W9" s="263">
        <v>0.6</v>
      </c>
      <c r="X9" s="240" t="s">
        <v>472</v>
      </c>
      <c r="Y9" s="267">
        <v>0.4</v>
      </c>
      <c r="Z9" s="268" t="s">
        <v>472</v>
      </c>
      <c r="AA9" s="267">
        <v>0.5</v>
      </c>
      <c r="AB9" s="240" t="s">
        <v>472</v>
      </c>
      <c r="AC9" s="378"/>
      <c r="AD9" s="378"/>
      <c r="AE9" s="400"/>
      <c r="AF9" s="262" t="s">
        <v>473</v>
      </c>
      <c r="AG9" s="240" t="s">
        <v>472</v>
      </c>
      <c r="AH9" s="379"/>
      <c r="AI9" s="378"/>
      <c r="AJ9" s="378"/>
      <c r="AK9" s="378"/>
      <c r="AL9" s="378"/>
      <c r="AM9" s="369"/>
      <c r="AN9" s="369"/>
    </row>
    <row r="10" spans="1:41" s="243" customFormat="1" ht="19.5" customHeight="1" x14ac:dyDescent="0.2">
      <c r="A10" s="216"/>
      <c r="B10" s="217"/>
      <c r="C10" s="217"/>
      <c r="D10" s="216"/>
      <c r="E10" s="217"/>
      <c r="F10" s="217"/>
      <c r="G10" s="216"/>
      <c r="H10" s="217"/>
      <c r="I10" s="217"/>
      <c r="J10" s="216"/>
      <c r="K10" s="219">
        <f t="shared" ref="K10" si="0">SUM(K11:K39)</f>
        <v>22.774999999999999</v>
      </c>
      <c r="L10" s="291" t="s">
        <v>604</v>
      </c>
      <c r="M10" s="219" cm="1">
        <f t="array" ref="M10">SUM(M11:M39+M40)</f>
        <v>1183320.9656250002</v>
      </c>
      <c r="N10" s="219" cm="1">
        <f t="array" ref="N10">SUM(N11:N39+N40)</f>
        <v>239</v>
      </c>
      <c r="O10" s="219">
        <f>O11+O12+O13+O14+O15+O16+O17+O18+O19+O20+O21+O22+O23+O24+O25+O26+O27+O28+O29+O30+O31+O32+O33+O34+O35+O36+O37+O38+O39+O40</f>
        <v>2010135.86625</v>
      </c>
      <c r="P10" s="219">
        <f t="shared" ref="P10:Q10" si="1">P11+P12+P13+P14+P15+P16+P17+P18+P19+P20+P21+P22+P23+P24+P25+P26+P27+P28+P29+P30+P31+P32+P33+P34+P35+P36+P37+P38+P39+P40</f>
        <v>77</v>
      </c>
      <c r="Q10" s="219">
        <f t="shared" si="1"/>
        <v>838505.98124999995</v>
      </c>
      <c r="R10" s="219">
        <f>R11+R12+R13+R14+R15+R16+R17+R18+R19+R20+R21+R22+R23+R24+R25+R26+R27+R28+R29+R30+R31+R32+R33+R34+R35+R36+R37+R38+R39+R40</f>
        <v>1007990.7032812501</v>
      </c>
      <c r="S10" s="219">
        <f t="shared" ref="S10:T10" si="2">S11+S12+S13+S14+S15+S16+S17+S18+S19+S20+S21+S22+S23+S24+S25+S26+S27+S28+S29+S30+S31+S32+S33+S34+S35+S36+S37+S38+S39+S40</f>
        <v>5039953.5164062502</v>
      </c>
      <c r="T10" s="219">
        <f t="shared" si="2"/>
        <v>503995.35164062504</v>
      </c>
      <c r="U10" s="219">
        <f t="shared" ref="U10" si="3">U11+U12+U13+U14+U15+U16+U17+U18+U19+U20+U21+U22+U23+U24+U25+U26+U27+U28+U29+U30+U31+U32+U33+U34+U35+U36+U37+U38+U39+U40</f>
        <v>3</v>
      </c>
      <c r="V10" s="219">
        <f t="shared" ref="V10" si="4">V11+V12+V13+V14+V15+V16+V17+V18+V19+V20+V21+V22+V23+V24+V25+V26+V27+V28+V29+V30+V31+V32+V33+V34+V35+V36+V37+V38+V39+V40</f>
        <v>26545.5</v>
      </c>
      <c r="W10" s="219">
        <f t="shared" ref="W10" si="5">W11+W12+W13+W14+W15+W16+W17+W18+W19+W20+W21+W22+W23+W24+W25+W26+W27+W28+W29+W30+W31+W32+W33+W34+W35+W36+W37+W38+W39+W40</f>
        <v>6</v>
      </c>
      <c r="X10" s="219">
        <f t="shared" ref="X10" si="6">X11+X12+X13+X14+X15+X16+X17+X18+X19+X20+X21+X22+X23+X24+X25+X26+X27+X28+X29+X30+X31+X32+X33+X34+X35+X36+X37+X38+X39+X40</f>
        <v>63709.19999999999</v>
      </c>
      <c r="Y10" s="219">
        <f t="shared" ref="Y10" si="7">Y11+Y12+Y13+Y14+Y15+Y16+Y17+Y18+Y19+Y20+Y21+Y22+Y23+Y24+Y25+Y26+Y27+Y28+Y29+Y30+Y31+Y32+Y33+Y34+Y35+Y36+Y37+Y38+Y39+Y40</f>
        <v>84</v>
      </c>
      <c r="Z10" s="219">
        <f t="shared" ref="Z10" si="8">Z11+Z12+Z13+Z14+Z15+Z16+Z17+Z18+Z19+Z20+Z21+Z22+Z23+Z24+Z25+Z26+Z27+Z28+Z29+Z30+Z31+Z32+Z33+Z34+Z35+Z36+Z37+Z38+Z39+Z40</f>
        <v>37163.699999999997</v>
      </c>
      <c r="AA10" s="219">
        <f t="shared" ref="AA10" si="9">AA11+AA12+AA13+AA14+AA15+AA16+AA17+AA18+AA19+AA20+AA21+AA22+AA23+AA24+AA25+AA26+AA27+AA28+AA29+AA30+AA31+AA32+AA33+AA34+AA35+AA36+AA37+AA38+AA39+AA40</f>
        <v>78</v>
      </c>
      <c r="AB10" s="219">
        <f t="shared" ref="AB10" si="10">AB11+AB12+AB13+AB14+AB15+AB16+AB17+AB18+AB19+AB20+AB21+AB22+AB23+AB24+AB25+AB26+AB27+AB28+AB29+AB30+AB31+AB32+AB33+AB34+AB35+AB36+AB37+AB38+AB39+AB40</f>
        <v>43136.4375</v>
      </c>
      <c r="AC10" s="219">
        <f t="shared" ref="AC10" si="11">AC11+AC12+AC13+AC14+AC15+AC16+AC17+AC18+AC19+AC20+AC21+AC22+AC23+AC24+AC25+AC26+AC27+AC28+AC29+AC30+AC31+AC32+AC33+AC34+AC35+AC36+AC37+AC38+AC39+AC40</f>
        <v>110760</v>
      </c>
      <c r="AD10" s="219">
        <f t="shared" ref="AD10" si="12">AD11+AD12+AD13+AD14+AD15+AD16+AD17+AD18+AD19+AD20+AD21+AD22+AD23+AD24+AD25+AD26+AD27+AD28+AD29+AD30+AD31+AD32+AD33+AD34+AD35+AD36+AD37+AD38+AD39+AD40</f>
        <v>0</v>
      </c>
      <c r="AE10" s="219">
        <f t="shared" ref="AE10" si="13">AE11+AE12+AE13+AE14+AE15+AE16+AE17+AE18+AE19+AE20+AE21+AE22+AE23+AE24+AE25+AE26+AE27+AE28+AE29+AE30+AE31+AE32+AE33+AE34+AE35+AE36+AE37+AE38+AE39+AE40</f>
        <v>1511986.0549218748</v>
      </c>
      <c r="AF10" s="219">
        <f t="shared" ref="AF10" si="14">AF11+AF12+AF13+AF14+AF15+AF16+AF17+AF18+AF19+AF20+AF21+AF22+AF23+AF24+AF25+AF26+AF27+AF28+AF29+AF30+AF31+AF32+AF33+AF34+AF35+AF36+AF37+AF38+AF39+AF40</f>
        <v>0</v>
      </c>
      <c r="AG10" s="219">
        <f t="shared" ref="AG10" si="15">AG11+AG12+AG13+AG14+AG15+AG16+AG17+AG18+AG19+AG20+AG21+AG22+AG23+AG24+AG25+AG26+AG27+AG28+AG29+AG30+AG31+AG32+AG33+AG34+AG35+AG36+AG37+AG38+AG39+AG40</f>
        <v>0</v>
      </c>
      <c r="AH10" s="219">
        <f t="shared" ref="AH10" si="16">AH11+AH12+AH13+AH14+AH15+AH16+AH17+AH18+AH19+AH20+AH21+AH22+AH23+AH24+AH25+AH26+AH27+AH28+AH29+AH30+AH31+AH32+AH33+AH34+AH35+AH36+AH37+AH38+AH39+AH40</f>
        <v>17695</v>
      </c>
      <c r="AI10" s="219">
        <f t="shared" ref="AI10" si="17">AI11+AI12+AI13+AI14+AI15+AI16+AI17+AI18+AI19+AI20+AI21+AI22+AI23+AI24+AI25+AI26+AI27+AI28+AI29+AI30+AI31+AI32+AI33+AI34+AI35+AI36+AI37+AI38+AI39+AI40</f>
        <v>541532.34773437504</v>
      </c>
      <c r="AJ10" s="219">
        <f t="shared" ref="AJ10" si="18">AJ11+AJ12+AJ13+AJ14+AJ15+AJ16+AJ17+AJ18+AJ19+AJ20+AJ21+AJ22+AJ23+AJ24+AJ25+AJ26+AJ27+AJ28+AJ29+AJ30+AJ31+AJ32+AJ33+AJ34+AJ35+AJ36+AJ37+AJ38+AJ39+AJ40</f>
        <v>328482.588984375</v>
      </c>
      <c r="AK10" s="219">
        <f t="shared" ref="AK10" si="19">AK11+AK12+AK13+AK14+AK15+AK16+AK17+AK18+AK19+AK20+AK21+AK22+AK23+AK24+AK25+AK26+AK27+AK28+AK29+AK30+AK31+AK32+AK33+AK34+AK35+AK36+AK37+AK38+AK39+AK40</f>
        <v>692616.33750000002</v>
      </c>
      <c r="AL10" s="219">
        <f t="shared" ref="AL10" si="20">SUM(AL11:AL39)+AL40</f>
        <v>0</v>
      </c>
      <c r="AM10" s="219">
        <f>SUM(AM11:AM39)+AM40</f>
        <v>8917576.0346875004</v>
      </c>
      <c r="AN10" s="217">
        <v>107435640</v>
      </c>
      <c r="AO10" s="242"/>
    </row>
    <row r="11" spans="1:41" s="227" customFormat="1" ht="19.5" customHeight="1" x14ac:dyDescent="0.2">
      <c r="A11" s="292">
        <v>1</v>
      </c>
      <c r="B11" s="293" t="s">
        <v>546</v>
      </c>
      <c r="C11" s="305" t="s">
        <v>562</v>
      </c>
      <c r="D11" s="294" t="s">
        <v>37</v>
      </c>
      <c r="E11" s="295" t="s">
        <v>177</v>
      </c>
      <c r="F11" s="295">
        <v>8.6999999999999993</v>
      </c>
      <c r="G11" s="296">
        <v>4.74</v>
      </c>
      <c r="H11" s="297">
        <f t="shared" ref="H11:H39" si="21">G11*I11*J11</f>
        <v>167767.56</v>
      </c>
      <c r="I11" s="298">
        <v>2</v>
      </c>
      <c r="J11" s="292">
        <v>17697</v>
      </c>
      <c r="K11" s="299">
        <v>1</v>
      </c>
      <c r="L11" s="300">
        <v>16</v>
      </c>
      <c r="M11" s="301">
        <f t="shared" ref="M11:M39" si="22">G11*I11*J11/16*L11</f>
        <v>167767.56</v>
      </c>
      <c r="N11" s="300">
        <v>0</v>
      </c>
      <c r="O11" s="301">
        <f t="shared" ref="O11:O39" si="23">G11*I11*J11/16*N11</f>
        <v>0</v>
      </c>
      <c r="P11" s="298">
        <v>0</v>
      </c>
      <c r="Q11" s="297">
        <f t="shared" ref="Q11:Q39" si="24">G11*I11*J11/16*P11</f>
        <v>0</v>
      </c>
      <c r="R11" s="297">
        <f>(M11+O11+Q11)*25%</f>
        <v>41941.89</v>
      </c>
      <c r="S11" s="297">
        <f>M11+O11+Q11+R11</f>
        <v>209709.45</v>
      </c>
      <c r="T11" s="297">
        <f>S11*0.1</f>
        <v>20970.945000000003</v>
      </c>
      <c r="U11" s="298">
        <v>0.5</v>
      </c>
      <c r="V11" s="302">
        <f>17697*50%*U11</f>
        <v>4424.25</v>
      </c>
      <c r="W11" s="298"/>
      <c r="X11" s="303">
        <f>17697*60%*W11</f>
        <v>0</v>
      </c>
      <c r="Y11" s="292">
        <v>8</v>
      </c>
      <c r="Z11" s="297">
        <f>17697*40%/16*Y11</f>
        <v>3539.4</v>
      </c>
      <c r="AA11" s="298"/>
      <c r="AB11" s="297">
        <f>17697*50%/16*AA11</f>
        <v>0</v>
      </c>
      <c r="AC11" s="304"/>
      <c r="AD11" s="298"/>
      <c r="AE11" s="297">
        <f>S11*0.3</f>
        <v>62912.834999999999</v>
      </c>
      <c r="AF11" s="298"/>
      <c r="AG11" s="303">
        <f>17697*40%/16*AF11</f>
        <v>0</v>
      </c>
      <c r="AH11" s="292"/>
      <c r="AI11" s="297">
        <f>S11*30%</f>
        <v>62912.834999999999</v>
      </c>
      <c r="AJ11" s="297"/>
      <c r="AK11" s="297"/>
      <c r="AL11" s="298"/>
      <c r="AM11" s="297">
        <f>S11+T11+V11+X11+Z11+AB11+AC11+AD11+AE11+AG11+AH11+AI11+AJ11+AK11+AL11</f>
        <v>364469.71500000003</v>
      </c>
      <c r="AN11" s="297">
        <f>AM11*12</f>
        <v>4373636.58</v>
      </c>
      <c r="AO11" s="241"/>
    </row>
    <row r="12" spans="1:41" s="227" customFormat="1" ht="18.75" customHeight="1" x14ac:dyDescent="0.2">
      <c r="A12" s="292">
        <v>2</v>
      </c>
      <c r="B12" s="306" t="s">
        <v>547</v>
      </c>
      <c r="C12" s="307" t="s">
        <v>563</v>
      </c>
      <c r="D12" s="294" t="s">
        <v>37</v>
      </c>
      <c r="E12" s="295" t="s">
        <v>177</v>
      </c>
      <c r="F12" s="295">
        <v>11.7</v>
      </c>
      <c r="G12" s="296">
        <v>4.8099999999999996</v>
      </c>
      <c r="H12" s="297">
        <f t="shared" si="21"/>
        <v>170245.13999999998</v>
      </c>
      <c r="I12" s="298">
        <v>2</v>
      </c>
      <c r="J12" s="292">
        <v>17697</v>
      </c>
      <c r="K12" s="299">
        <v>0.9</v>
      </c>
      <c r="L12" s="300">
        <v>3.5</v>
      </c>
      <c r="M12" s="301">
        <f t="shared" si="22"/>
        <v>37241.124374999999</v>
      </c>
      <c r="N12" s="300">
        <v>5</v>
      </c>
      <c r="O12" s="301">
        <f t="shared" si="23"/>
        <v>53201.606249999997</v>
      </c>
      <c r="P12" s="300">
        <v>6</v>
      </c>
      <c r="Q12" s="297">
        <f t="shared" si="24"/>
        <v>63841.927499999991</v>
      </c>
      <c r="R12" s="297">
        <f t="shared" ref="R12:R39" si="25">(M12+O12+Q12)*25%</f>
        <v>38571.164531249997</v>
      </c>
      <c r="S12" s="297">
        <f t="shared" ref="S12:S39" si="26">M12+O12+Q12+R12</f>
        <v>192855.82265624998</v>
      </c>
      <c r="T12" s="297">
        <f t="shared" ref="T12:T39" si="27">S12*0.1</f>
        <v>19285.582265624998</v>
      </c>
      <c r="U12" s="298"/>
      <c r="V12" s="302">
        <f t="shared" ref="V12:V39" si="28">17697*50%*U12</f>
        <v>0</v>
      </c>
      <c r="W12" s="298">
        <v>0.5</v>
      </c>
      <c r="X12" s="303">
        <f t="shared" ref="X12:X39" si="29">17697*60%*W12</f>
        <v>5309.0999999999995</v>
      </c>
      <c r="Y12" s="292"/>
      <c r="Z12" s="297">
        <f t="shared" ref="Z12:Z39" si="30">17697*40%/16*Y12</f>
        <v>0</v>
      </c>
      <c r="AA12" s="298"/>
      <c r="AB12" s="297">
        <f t="shared" ref="AB12:AB39" si="31">17697*50%/16*AA12</f>
        <v>0</v>
      </c>
      <c r="AC12" s="304"/>
      <c r="AD12" s="298"/>
      <c r="AE12" s="297">
        <f t="shared" ref="AE12:AE39" si="32">S12*0.3</f>
        <v>57856.746796874992</v>
      </c>
      <c r="AF12" s="298"/>
      <c r="AG12" s="303">
        <f t="shared" ref="AG12:AG39" si="33">17697*40%/16*AF12</f>
        <v>0</v>
      </c>
      <c r="AH12" s="292">
        <v>3539</v>
      </c>
      <c r="AI12" s="297">
        <f t="shared" ref="AI12:AI33" si="34">S12*30%</f>
        <v>57856.746796874992</v>
      </c>
      <c r="AJ12" s="297"/>
      <c r="AK12" s="297"/>
      <c r="AL12" s="298"/>
      <c r="AM12" s="297">
        <f t="shared" ref="AM12:AM37" si="35">S12+T12+V12+X12+Z12+AB12+AC12+AD12+AE12+AG12+AH12+AI12+AJ12+AK12+AL12</f>
        <v>336702.99851562496</v>
      </c>
      <c r="AN12" s="297">
        <f t="shared" ref="AN12:AN39" si="36">AM12*12</f>
        <v>4040435.9821874993</v>
      </c>
      <c r="AO12" s="241"/>
    </row>
    <row r="13" spans="1:41" s="227" customFormat="1" ht="27.75" customHeight="1" x14ac:dyDescent="0.2">
      <c r="A13" s="292">
        <v>3</v>
      </c>
      <c r="B13" s="293" t="s">
        <v>548</v>
      </c>
      <c r="C13" s="293" t="s">
        <v>564</v>
      </c>
      <c r="D13" s="294" t="s">
        <v>37</v>
      </c>
      <c r="E13" s="295" t="s">
        <v>174</v>
      </c>
      <c r="F13" s="295">
        <v>40.700000000000003</v>
      </c>
      <c r="G13" s="296">
        <v>5.41</v>
      </c>
      <c r="H13" s="297">
        <f t="shared" si="21"/>
        <v>191481.54</v>
      </c>
      <c r="I13" s="298">
        <v>2</v>
      </c>
      <c r="J13" s="292">
        <v>17697</v>
      </c>
      <c r="K13" s="299">
        <v>1.4</v>
      </c>
      <c r="L13" s="300">
        <v>6</v>
      </c>
      <c r="M13" s="301">
        <f t="shared" si="22"/>
        <v>71805.577499999999</v>
      </c>
      <c r="N13" s="300">
        <v>12</v>
      </c>
      <c r="O13" s="301">
        <f t="shared" si="23"/>
        <v>143611.155</v>
      </c>
      <c r="P13" s="300">
        <v>4</v>
      </c>
      <c r="Q13" s="297">
        <f t="shared" si="24"/>
        <v>47870.385000000002</v>
      </c>
      <c r="R13" s="297">
        <f t="shared" si="25"/>
        <v>65821.779374999998</v>
      </c>
      <c r="S13" s="297">
        <f t="shared" si="26"/>
        <v>329108.89687499998</v>
      </c>
      <c r="T13" s="297">
        <f t="shared" si="27"/>
        <v>32910.889687499999</v>
      </c>
      <c r="U13" s="298"/>
      <c r="V13" s="302">
        <f t="shared" si="28"/>
        <v>0</v>
      </c>
      <c r="W13" s="298"/>
      <c r="X13" s="303">
        <f t="shared" si="29"/>
        <v>0</v>
      </c>
      <c r="Y13" s="292">
        <v>6</v>
      </c>
      <c r="Z13" s="297">
        <f t="shared" si="30"/>
        <v>2654.55</v>
      </c>
      <c r="AA13" s="298">
        <v>16</v>
      </c>
      <c r="AB13" s="297">
        <f t="shared" si="31"/>
        <v>8848.5</v>
      </c>
      <c r="AC13" s="304"/>
      <c r="AD13" s="298"/>
      <c r="AE13" s="297">
        <f t="shared" si="32"/>
        <v>98732.66906249999</v>
      </c>
      <c r="AF13" s="298"/>
      <c r="AG13" s="303">
        <f t="shared" si="33"/>
        <v>0</v>
      </c>
      <c r="AH13" s="292"/>
      <c r="AI13" s="297"/>
      <c r="AJ13" s="297"/>
      <c r="AK13" s="297">
        <f t="shared" ref="AK13:AK15" si="37">S13*40%</f>
        <v>131643.55875</v>
      </c>
      <c r="AL13" s="298"/>
      <c r="AM13" s="297">
        <f t="shared" si="35"/>
        <v>603899.06437499996</v>
      </c>
      <c r="AN13" s="297">
        <f t="shared" si="36"/>
        <v>7246788.772499999</v>
      </c>
      <c r="AO13" s="241"/>
    </row>
    <row r="14" spans="1:41" s="227" customFormat="1" ht="19.5" customHeight="1" x14ac:dyDescent="0.2">
      <c r="A14" s="292">
        <v>4</v>
      </c>
      <c r="B14" s="293" t="s">
        <v>527</v>
      </c>
      <c r="C14" s="293" t="s">
        <v>565</v>
      </c>
      <c r="D14" s="294" t="s">
        <v>37</v>
      </c>
      <c r="E14" s="295" t="s">
        <v>178</v>
      </c>
      <c r="F14" s="295">
        <v>10.7</v>
      </c>
      <c r="G14" s="296">
        <v>4.8600000000000003</v>
      </c>
      <c r="H14" s="297">
        <f t="shared" si="21"/>
        <v>172014.84000000003</v>
      </c>
      <c r="I14" s="298">
        <v>2</v>
      </c>
      <c r="J14" s="292">
        <v>17697</v>
      </c>
      <c r="K14" s="299">
        <v>0.9</v>
      </c>
      <c r="L14" s="300">
        <v>7</v>
      </c>
      <c r="M14" s="301">
        <f t="shared" si="22"/>
        <v>75256.492500000008</v>
      </c>
      <c r="N14" s="300">
        <v>7</v>
      </c>
      <c r="O14" s="301">
        <f t="shared" si="23"/>
        <v>75256.492500000008</v>
      </c>
      <c r="P14" s="300">
        <v>0</v>
      </c>
      <c r="Q14" s="297">
        <f t="shared" si="24"/>
        <v>0</v>
      </c>
      <c r="R14" s="297">
        <f t="shared" si="25"/>
        <v>37628.246250000004</v>
      </c>
      <c r="S14" s="297">
        <f t="shared" si="26"/>
        <v>188141.23125000001</v>
      </c>
      <c r="T14" s="297">
        <f t="shared" si="27"/>
        <v>18814.123125000002</v>
      </c>
      <c r="U14" s="298"/>
      <c r="V14" s="302">
        <f t="shared" si="28"/>
        <v>0</v>
      </c>
      <c r="W14" s="298"/>
      <c r="X14" s="303">
        <f t="shared" si="29"/>
        <v>0</v>
      </c>
      <c r="Y14" s="292"/>
      <c r="Z14" s="297">
        <f t="shared" si="30"/>
        <v>0</v>
      </c>
      <c r="AA14" s="298"/>
      <c r="AB14" s="297">
        <f t="shared" si="31"/>
        <v>0</v>
      </c>
      <c r="AC14" s="304"/>
      <c r="AD14" s="298"/>
      <c r="AE14" s="297">
        <f t="shared" si="32"/>
        <v>56442.369375000002</v>
      </c>
      <c r="AF14" s="298"/>
      <c r="AG14" s="303">
        <f t="shared" si="33"/>
        <v>0</v>
      </c>
      <c r="AH14" s="292">
        <v>3539</v>
      </c>
      <c r="AI14" s="297"/>
      <c r="AJ14" s="297">
        <f t="shared" ref="AJ14:AJ16" si="38">S14*35%</f>
        <v>65849.430937500001</v>
      </c>
      <c r="AK14" s="297"/>
      <c r="AL14" s="298"/>
      <c r="AM14" s="297">
        <f t="shared" si="35"/>
        <v>332786.15468749998</v>
      </c>
      <c r="AN14" s="297">
        <f t="shared" si="36"/>
        <v>3993433.8562499997</v>
      </c>
      <c r="AO14" s="241"/>
    </row>
    <row r="15" spans="1:41" s="227" customFormat="1" ht="19.5" customHeight="1" x14ac:dyDescent="0.2">
      <c r="A15" s="292">
        <v>5</v>
      </c>
      <c r="B15" s="293" t="s">
        <v>503</v>
      </c>
      <c r="C15" s="293" t="s">
        <v>480</v>
      </c>
      <c r="D15" s="294" t="s">
        <v>37</v>
      </c>
      <c r="E15" s="295" t="s">
        <v>174</v>
      </c>
      <c r="F15" s="295">
        <v>26.7</v>
      </c>
      <c r="G15" s="296">
        <v>5.41</v>
      </c>
      <c r="H15" s="297">
        <f t="shared" si="21"/>
        <v>191481.54</v>
      </c>
      <c r="I15" s="298">
        <v>2</v>
      </c>
      <c r="J15" s="292">
        <v>17697</v>
      </c>
      <c r="K15" s="299">
        <v>0.5</v>
      </c>
      <c r="L15" s="300">
        <v>0</v>
      </c>
      <c r="M15" s="301">
        <f t="shared" si="22"/>
        <v>0</v>
      </c>
      <c r="N15" s="300">
        <v>8</v>
      </c>
      <c r="O15" s="301">
        <f t="shared" si="23"/>
        <v>95740.77</v>
      </c>
      <c r="P15" s="300">
        <v>0</v>
      </c>
      <c r="Q15" s="297">
        <f t="shared" si="24"/>
        <v>0</v>
      </c>
      <c r="R15" s="297">
        <f t="shared" si="25"/>
        <v>23935.192500000001</v>
      </c>
      <c r="S15" s="297">
        <f t="shared" si="26"/>
        <v>119675.96250000001</v>
      </c>
      <c r="T15" s="297">
        <f t="shared" si="27"/>
        <v>11967.596250000002</v>
      </c>
      <c r="U15" s="298"/>
      <c r="V15" s="302">
        <f t="shared" si="28"/>
        <v>0</v>
      </c>
      <c r="W15" s="298"/>
      <c r="X15" s="303">
        <f t="shared" si="29"/>
        <v>0</v>
      </c>
      <c r="Y15" s="292">
        <v>8</v>
      </c>
      <c r="Z15" s="297">
        <f t="shared" si="30"/>
        <v>3539.4</v>
      </c>
      <c r="AA15" s="298"/>
      <c r="AB15" s="297">
        <f t="shared" si="31"/>
        <v>0</v>
      </c>
      <c r="AC15" s="304"/>
      <c r="AD15" s="298"/>
      <c r="AE15" s="297">
        <f t="shared" si="32"/>
        <v>35902.78875</v>
      </c>
      <c r="AF15" s="298"/>
      <c r="AG15" s="303">
        <f t="shared" si="33"/>
        <v>0</v>
      </c>
      <c r="AH15" s="292"/>
      <c r="AI15" s="297"/>
      <c r="AJ15" s="297"/>
      <c r="AK15" s="297">
        <f t="shared" si="37"/>
        <v>47870.385000000009</v>
      </c>
      <c r="AL15" s="298"/>
      <c r="AM15" s="297">
        <f t="shared" si="35"/>
        <v>218956.13250000004</v>
      </c>
      <c r="AN15" s="297">
        <f t="shared" si="36"/>
        <v>2627473.5900000003</v>
      </c>
      <c r="AO15" s="241"/>
    </row>
    <row r="16" spans="1:41" s="227" customFormat="1" ht="19.5" customHeight="1" x14ac:dyDescent="0.2">
      <c r="A16" s="292">
        <v>6</v>
      </c>
      <c r="B16" s="306" t="s">
        <v>549</v>
      </c>
      <c r="C16" s="307" t="s">
        <v>566</v>
      </c>
      <c r="D16" s="294" t="s">
        <v>37</v>
      </c>
      <c r="E16" s="295" t="s">
        <v>178</v>
      </c>
      <c r="F16" s="295">
        <v>14.7</v>
      </c>
      <c r="G16" s="296">
        <v>4.95</v>
      </c>
      <c r="H16" s="297">
        <f t="shared" si="21"/>
        <v>175200.30000000002</v>
      </c>
      <c r="I16" s="298">
        <v>2</v>
      </c>
      <c r="J16" s="292">
        <v>17697</v>
      </c>
      <c r="K16" s="299">
        <v>0.9</v>
      </c>
      <c r="L16" s="300">
        <v>0</v>
      </c>
      <c r="M16" s="301">
        <f t="shared" si="22"/>
        <v>0</v>
      </c>
      <c r="N16" s="300">
        <v>9</v>
      </c>
      <c r="O16" s="301">
        <f t="shared" si="23"/>
        <v>98550.168750000012</v>
      </c>
      <c r="P16" s="300">
        <v>6</v>
      </c>
      <c r="Q16" s="297">
        <f t="shared" si="24"/>
        <v>65700.112500000003</v>
      </c>
      <c r="R16" s="297">
        <f t="shared" si="25"/>
        <v>41062.5703125</v>
      </c>
      <c r="S16" s="297">
        <f t="shared" si="26"/>
        <v>205312.8515625</v>
      </c>
      <c r="T16" s="297">
        <f t="shared" si="27"/>
        <v>20531.28515625</v>
      </c>
      <c r="U16" s="298"/>
      <c r="V16" s="302">
        <f t="shared" si="28"/>
        <v>0</v>
      </c>
      <c r="W16" s="298"/>
      <c r="X16" s="303">
        <f t="shared" si="29"/>
        <v>0</v>
      </c>
      <c r="Y16" s="292"/>
      <c r="Z16" s="297">
        <f t="shared" si="30"/>
        <v>0</v>
      </c>
      <c r="AA16" s="298"/>
      <c r="AB16" s="297">
        <f t="shared" si="31"/>
        <v>0</v>
      </c>
      <c r="AC16" s="304"/>
      <c r="AD16" s="298"/>
      <c r="AE16" s="297">
        <f t="shared" si="32"/>
        <v>61593.85546875</v>
      </c>
      <c r="AF16" s="298"/>
      <c r="AG16" s="303">
        <f t="shared" si="33"/>
        <v>0</v>
      </c>
      <c r="AH16" s="292"/>
      <c r="AI16" s="297"/>
      <c r="AJ16" s="297">
        <f t="shared" si="38"/>
        <v>71859.498046875</v>
      </c>
      <c r="AK16" s="297"/>
      <c r="AL16" s="298"/>
      <c r="AM16" s="297">
        <f t="shared" si="35"/>
        <v>359297.490234375</v>
      </c>
      <c r="AN16" s="297">
        <f t="shared" si="36"/>
        <v>4311569.8828125</v>
      </c>
      <c r="AO16" s="241"/>
    </row>
    <row r="17" spans="1:41" s="227" customFormat="1" ht="19.5" customHeight="1" x14ac:dyDescent="0.2">
      <c r="A17" s="292">
        <v>7</v>
      </c>
      <c r="B17" s="293" t="s">
        <v>511</v>
      </c>
      <c r="C17" s="293" t="s">
        <v>566</v>
      </c>
      <c r="D17" s="294" t="s">
        <v>37</v>
      </c>
      <c r="E17" s="295" t="s">
        <v>175</v>
      </c>
      <c r="F17" s="295">
        <v>17.7</v>
      </c>
      <c r="G17" s="296">
        <v>4.59</v>
      </c>
      <c r="H17" s="297">
        <f t="shared" si="21"/>
        <v>162458.46</v>
      </c>
      <c r="I17" s="298">
        <v>2</v>
      </c>
      <c r="J17" s="292">
        <v>17697</v>
      </c>
      <c r="K17" s="299">
        <v>0.3</v>
      </c>
      <c r="L17" s="300">
        <v>2</v>
      </c>
      <c r="M17" s="301">
        <f t="shared" si="22"/>
        <v>20307.307499999999</v>
      </c>
      <c r="N17" s="300">
        <v>3</v>
      </c>
      <c r="O17" s="301">
        <f t="shared" si="23"/>
        <v>30460.96125</v>
      </c>
      <c r="P17" s="300">
        <v>0</v>
      </c>
      <c r="Q17" s="297">
        <f t="shared" si="24"/>
        <v>0</v>
      </c>
      <c r="R17" s="297">
        <f t="shared" si="25"/>
        <v>12692.067187500001</v>
      </c>
      <c r="S17" s="297">
        <f t="shared" si="26"/>
        <v>63460.3359375</v>
      </c>
      <c r="T17" s="297">
        <f t="shared" si="27"/>
        <v>6346.0335937500004</v>
      </c>
      <c r="U17" s="298"/>
      <c r="V17" s="302">
        <f t="shared" si="28"/>
        <v>0</v>
      </c>
      <c r="W17" s="298"/>
      <c r="X17" s="303">
        <f t="shared" si="29"/>
        <v>0</v>
      </c>
      <c r="Y17" s="292"/>
      <c r="Z17" s="297">
        <f t="shared" si="30"/>
        <v>0</v>
      </c>
      <c r="AA17" s="298"/>
      <c r="AB17" s="297">
        <f t="shared" si="31"/>
        <v>0</v>
      </c>
      <c r="AC17" s="304"/>
      <c r="AD17" s="298"/>
      <c r="AE17" s="297">
        <f t="shared" si="32"/>
        <v>19038.100781249999</v>
      </c>
      <c r="AF17" s="298"/>
      <c r="AG17" s="303">
        <f t="shared" si="33"/>
        <v>0</v>
      </c>
      <c r="AH17" s="292"/>
      <c r="AI17" s="297"/>
      <c r="AJ17" s="297"/>
      <c r="AK17" s="297"/>
      <c r="AL17" s="298"/>
      <c r="AM17" s="297">
        <f t="shared" si="35"/>
        <v>88844.470312500009</v>
      </c>
      <c r="AN17" s="297">
        <f t="shared" si="36"/>
        <v>1066133.64375</v>
      </c>
      <c r="AO17" s="241"/>
    </row>
    <row r="18" spans="1:41" s="227" customFormat="1" ht="19.5" customHeight="1" x14ac:dyDescent="0.2">
      <c r="A18" s="292">
        <v>8</v>
      </c>
      <c r="B18" s="293" t="s">
        <v>505</v>
      </c>
      <c r="C18" s="293" t="s">
        <v>480</v>
      </c>
      <c r="D18" s="294" t="s">
        <v>37</v>
      </c>
      <c r="E18" s="295" t="s">
        <v>174</v>
      </c>
      <c r="F18" s="295">
        <v>16.7</v>
      </c>
      <c r="G18" s="296">
        <v>5.24</v>
      </c>
      <c r="H18" s="297">
        <f t="shared" si="21"/>
        <v>185464.56</v>
      </c>
      <c r="I18" s="298">
        <v>2</v>
      </c>
      <c r="J18" s="292">
        <v>17697</v>
      </c>
      <c r="K18" s="299">
        <v>0.5</v>
      </c>
      <c r="L18" s="300">
        <v>0</v>
      </c>
      <c r="M18" s="301">
        <f t="shared" si="22"/>
        <v>0</v>
      </c>
      <c r="N18" s="300">
        <v>8</v>
      </c>
      <c r="O18" s="301">
        <f t="shared" si="23"/>
        <v>92732.28</v>
      </c>
      <c r="P18" s="300">
        <v>0</v>
      </c>
      <c r="Q18" s="297">
        <f t="shared" si="24"/>
        <v>0</v>
      </c>
      <c r="R18" s="297">
        <f t="shared" si="25"/>
        <v>23183.07</v>
      </c>
      <c r="S18" s="297">
        <f t="shared" si="26"/>
        <v>115915.35</v>
      </c>
      <c r="T18" s="297">
        <f t="shared" si="27"/>
        <v>11591.535000000002</v>
      </c>
      <c r="U18" s="298"/>
      <c r="V18" s="302">
        <f t="shared" si="28"/>
        <v>0</v>
      </c>
      <c r="W18" s="298"/>
      <c r="X18" s="303">
        <f t="shared" si="29"/>
        <v>0</v>
      </c>
      <c r="Y18" s="292">
        <v>8</v>
      </c>
      <c r="Z18" s="297">
        <f t="shared" si="30"/>
        <v>3539.4</v>
      </c>
      <c r="AA18" s="298"/>
      <c r="AB18" s="297">
        <f t="shared" si="31"/>
        <v>0</v>
      </c>
      <c r="AC18" s="304"/>
      <c r="AD18" s="298"/>
      <c r="AE18" s="297">
        <f t="shared" si="32"/>
        <v>34774.605000000003</v>
      </c>
      <c r="AF18" s="298"/>
      <c r="AG18" s="303">
        <f t="shared" si="33"/>
        <v>0</v>
      </c>
      <c r="AH18" s="292"/>
      <c r="AI18" s="297"/>
      <c r="AJ18" s="297"/>
      <c r="AK18" s="297">
        <f t="shared" ref="AK18" si="39">S18*40%</f>
        <v>46366.140000000007</v>
      </c>
      <c r="AL18" s="298"/>
      <c r="AM18" s="297">
        <f t="shared" si="35"/>
        <v>212187.03000000003</v>
      </c>
      <c r="AN18" s="297">
        <f t="shared" si="36"/>
        <v>2546244.3600000003</v>
      </c>
      <c r="AO18" s="241"/>
    </row>
    <row r="19" spans="1:41" s="227" customFormat="1" ht="19.5" customHeight="1" x14ac:dyDescent="0.2">
      <c r="A19" s="367">
        <v>9</v>
      </c>
      <c r="B19" s="293" t="s">
        <v>550</v>
      </c>
      <c r="C19" s="293" t="s">
        <v>488</v>
      </c>
      <c r="D19" s="294" t="s">
        <v>37</v>
      </c>
      <c r="E19" s="295" t="s">
        <v>177</v>
      </c>
      <c r="F19" s="295">
        <v>13.7</v>
      </c>
      <c r="G19" s="296">
        <v>4.9000000000000004</v>
      </c>
      <c r="H19" s="297">
        <f t="shared" si="21"/>
        <v>173430.6</v>
      </c>
      <c r="I19" s="298">
        <v>2</v>
      </c>
      <c r="J19" s="292">
        <v>17697</v>
      </c>
      <c r="K19" s="299">
        <v>0.2</v>
      </c>
      <c r="L19" s="300">
        <v>1</v>
      </c>
      <c r="M19" s="301">
        <f t="shared" si="22"/>
        <v>10839.4125</v>
      </c>
      <c r="N19" s="300">
        <v>3</v>
      </c>
      <c r="O19" s="301">
        <f t="shared" si="23"/>
        <v>32518.237500000003</v>
      </c>
      <c r="P19" s="300">
        <v>0</v>
      </c>
      <c r="Q19" s="297">
        <f t="shared" si="24"/>
        <v>0</v>
      </c>
      <c r="R19" s="297">
        <f t="shared" si="25"/>
        <v>10839.4125</v>
      </c>
      <c r="S19" s="297">
        <f t="shared" si="26"/>
        <v>54197.0625</v>
      </c>
      <c r="T19" s="297">
        <f t="shared" si="27"/>
        <v>5419.7062500000002</v>
      </c>
      <c r="U19" s="298"/>
      <c r="V19" s="302">
        <f t="shared" si="28"/>
        <v>0</v>
      </c>
      <c r="W19" s="298"/>
      <c r="X19" s="303">
        <f t="shared" si="29"/>
        <v>0</v>
      </c>
      <c r="Y19" s="292"/>
      <c r="Z19" s="297">
        <f t="shared" si="30"/>
        <v>0</v>
      </c>
      <c r="AA19" s="298"/>
      <c r="AB19" s="297">
        <f t="shared" si="31"/>
        <v>0</v>
      </c>
      <c r="AC19" s="304"/>
      <c r="AD19" s="298"/>
      <c r="AE19" s="297">
        <f t="shared" si="32"/>
        <v>16259.11875</v>
      </c>
      <c r="AF19" s="298"/>
      <c r="AG19" s="303">
        <f t="shared" si="33"/>
        <v>0</v>
      </c>
      <c r="AH19" s="292"/>
      <c r="AI19" s="297">
        <f t="shared" si="34"/>
        <v>16259.11875</v>
      </c>
      <c r="AJ19" s="297"/>
      <c r="AK19" s="297"/>
      <c r="AL19" s="298"/>
      <c r="AM19" s="297">
        <f>S19+T19+V19+X19+Z19+AB19+AC19+AD19+AE19+AG19+AH19+AI19+AJ19+AK19+AL19</f>
        <v>92135.006249999991</v>
      </c>
      <c r="AN19" s="297">
        <f t="shared" si="36"/>
        <v>1105620.075</v>
      </c>
      <c r="AO19" s="241"/>
    </row>
    <row r="20" spans="1:41" s="227" customFormat="1" ht="19.5" customHeight="1" x14ac:dyDescent="0.2">
      <c r="A20" s="368"/>
      <c r="B20" s="293" t="s">
        <v>550</v>
      </c>
      <c r="C20" s="293" t="s">
        <v>479</v>
      </c>
      <c r="D20" s="294" t="s">
        <v>37</v>
      </c>
      <c r="E20" s="295" t="s">
        <v>175</v>
      </c>
      <c r="F20" s="295">
        <v>13.7</v>
      </c>
      <c r="G20" s="296">
        <v>4.49</v>
      </c>
      <c r="H20" s="297">
        <f t="shared" si="21"/>
        <v>158919.06</v>
      </c>
      <c r="I20" s="298">
        <v>2</v>
      </c>
      <c r="J20" s="292">
        <v>17697</v>
      </c>
      <c r="K20" s="299">
        <v>0.7</v>
      </c>
      <c r="L20" s="300">
        <v>0</v>
      </c>
      <c r="M20" s="301">
        <f t="shared" si="22"/>
        <v>0</v>
      </c>
      <c r="N20" s="300">
        <v>6</v>
      </c>
      <c r="O20" s="301">
        <f t="shared" si="23"/>
        <v>59594.647499999999</v>
      </c>
      <c r="P20" s="300">
        <v>6</v>
      </c>
      <c r="Q20" s="297">
        <f t="shared" si="24"/>
        <v>59594.647499999999</v>
      </c>
      <c r="R20" s="297">
        <f t="shared" si="25"/>
        <v>29797.32375</v>
      </c>
      <c r="S20" s="297">
        <f t="shared" si="26"/>
        <v>148986.61874999999</v>
      </c>
      <c r="T20" s="297">
        <f t="shared" si="27"/>
        <v>14898.661875</v>
      </c>
      <c r="U20" s="298"/>
      <c r="V20" s="302">
        <f t="shared" si="28"/>
        <v>0</v>
      </c>
      <c r="W20" s="298"/>
      <c r="X20" s="303">
        <f t="shared" si="29"/>
        <v>0</v>
      </c>
      <c r="Y20" s="292"/>
      <c r="Z20" s="297">
        <f t="shared" si="30"/>
        <v>0</v>
      </c>
      <c r="AA20" s="298"/>
      <c r="AB20" s="297">
        <f t="shared" si="31"/>
        <v>0</v>
      </c>
      <c r="AC20" s="304"/>
      <c r="AD20" s="298"/>
      <c r="AE20" s="297">
        <f t="shared" si="32"/>
        <v>44695.985624999994</v>
      </c>
      <c r="AF20" s="298"/>
      <c r="AG20" s="303">
        <f t="shared" si="33"/>
        <v>0</v>
      </c>
      <c r="AH20" s="292">
        <v>3539</v>
      </c>
      <c r="AI20" s="297"/>
      <c r="AJ20" s="297"/>
      <c r="AK20" s="297"/>
      <c r="AL20" s="298"/>
      <c r="AM20" s="297">
        <f t="shared" si="35"/>
        <v>212120.26624999999</v>
      </c>
      <c r="AN20" s="297">
        <f t="shared" si="36"/>
        <v>2545443.1949999998</v>
      </c>
      <c r="AO20" s="241"/>
    </row>
    <row r="21" spans="1:41" s="227" customFormat="1" ht="19.5" customHeight="1" x14ac:dyDescent="0.2">
      <c r="A21" s="292">
        <v>10</v>
      </c>
      <c r="B21" s="293" t="s">
        <v>515</v>
      </c>
      <c r="C21" s="293" t="s">
        <v>477</v>
      </c>
      <c r="D21" s="294" t="s">
        <v>37</v>
      </c>
      <c r="E21" s="295" t="s">
        <v>177</v>
      </c>
      <c r="F21" s="295">
        <v>4.7</v>
      </c>
      <c r="G21" s="296">
        <v>4.59</v>
      </c>
      <c r="H21" s="297">
        <f t="shared" si="21"/>
        <v>162458.46</v>
      </c>
      <c r="I21" s="298">
        <v>2</v>
      </c>
      <c r="J21" s="292">
        <v>17697</v>
      </c>
      <c r="K21" s="299">
        <v>0.375</v>
      </c>
      <c r="L21" s="300">
        <v>0</v>
      </c>
      <c r="M21" s="301">
        <f t="shared" si="22"/>
        <v>0</v>
      </c>
      <c r="N21" s="300">
        <v>6</v>
      </c>
      <c r="O21" s="301">
        <f t="shared" si="23"/>
        <v>60921.922500000001</v>
      </c>
      <c r="P21" s="300">
        <v>0</v>
      </c>
      <c r="Q21" s="297">
        <f t="shared" si="24"/>
        <v>0</v>
      </c>
      <c r="R21" s="297">
        <f t="shared" si="25"/>
        <v>15230.480625</v>
      </c>
      <c r="S21" s="297">
        <f t="shared" si="26"/>
        <v>76152.403124999997</v>
      </c>
      <c r="T21" s="297">
        <f t="shared" si="27"/>
        <v>7615.2403125000001</v>
      </c>
      <c r="U21" s="298"/>
      <c r="V21" s="302">
        <f t="shared" si="28"/>
        <v>0</v>
      </c>
      <c r="W21" s="298"/>
      <c r="X21" s="303">
        <f t="shared" si="29"/>
        <v>0</v>
      </c>
      <c r="Y21" s="292"/>
      <c r="Z21" s="297">
        <f t="shared" si="30"/>
        <v>0</v>
      </c>
      <c r="AA21" s="298"/>
      <c r="AB21" s="297">
        <f t="shared" si="31"/>
        <v>0</v>
      </c>
      <c r="AC21" s="304"/>
      <c r="AD21" s="298"/>
      <c r="AE21" s="297">
        <f t="shared" si="32"/>
        <v>22845.720937499998</v>
      </c>
      <c r="AF21" s="298"/>
      <c r="AG21" s="303">
        <f t="shared" si="33"/>
        <v>0</v>
      </c>
      <c r="AH21" s="292"/>
      <c r="AI21" s="297">
        <f t="shared" si="34"/>
        <v>22845.720937499998</v>
      </c>
      <c r="AJ21" s="297"/>
      <c r="AK21" s="297"/>
      <c r="AL21" s="298"/>
      <c r="AM21" s="297">
        <f t="shared" si="35"/>
        <v>129459.08531249998</v>
      </c>
      <c r="AN21" s="297">
        <f t="shared" si="36"/>
        <v>1553509.0237499997</v>
      </c>
      <c r="AO21" s="241"/>
    </row>
    <row r="22" spans="1:41" s="227" customFormat="1" ht="19.5" customHeight="1" x14ac:dyDescent="0.2">
      <c r="A22" s="292">
        <v>11</v>
      </c>
      <c r="B22" s="293" t="s">
        <v>551</v>
      </c>
      <c r="C22" s="293" t="s">
        <v>474</v>
      </c>
      <c r="D22" s="294" t="s">
        <v>37</v>
      </c>
      <c r="E22" s="295" t="s">
        <v>177</v>
      </c>
      <c r="F22" s="295">
        <v>4.7</v>
      </c>
      <c r="G22" s="296">
        <v>4.66</v>
      </c>
      <c r="H22" s="297">
        <f t="shared" si="21"/>
        <v>164936.04</v>
      </c>
      <c r="I22" s="298">
        <v>2</v>
      </c>
      <c r="J22" s="292">
        <v>17697</v>
      </c>
      <c r="K22" s="299">
        <v>1.1000000000000001</v>
      </c>
      <c r="L22" s="300">
        <v>2</v>
      </c>
      <c r="M22" s="301">
        <f t="shared" si="22"/>
        <v>20617.005000000001</v>
      </c>
      <c r="N22" s="300">
        <v>12</v>
      </c>
      <c r="O22" s="301">
        <f t="shared" si="23"/>
        <v>123702.03</v>
      </c>
      <c r="P22" s="300">
        <v>3</v>
      </c>
      <c r="Q22" s="297">
        <f t="shared" si="24"/>
        <v>30925.5075</v>
      </c>
      <c r="R22" s="297">
        <f t="shared" si="25"/>
        <v>43811.135625000003</v>
      </c>
      <c r="S22" s="297">
        <f t="shared" si="26"/>
        <v>219055.67812500001</v>
      </c>
      <c r="T22" s="297">
        <f t="shared" si="27"/>
        <v>21905.567812500001</v>
      </c>
      <c r="U22" s="298"/>
      <c r="V22" s="302">
        <f t="shared" si="28"/>
        <v>0</v>
      </c>
      <c r="W22" s="298">
        <v>1</v>
      </c>
      <c r="X22" s="303">
        <f t="shared" si="29"/>
        <v>10618.199999999999</v>
      </c>
      <c r="Y22" s="292">
        <v>2</v>
      </c>
      <c r="Z22" s="297">
        <f t="shared" si="30"/>
        <v>884.85</v>
      </c>
      <c r="AA22" s="298">
        <v>15</v>
      </c>
      <c r="AB22" s="297">
        <f t="shared" si="31"/>
        <v>8295.46875</v>
      </c>
      <c r="AC22" s="304"/>
      <c r="AD22" s="298"/>
      <c r="AE22" s="297">
        <f t="shared" si="32"/>
        <v>65716.703437499993</v>
      </c>
      <c r="AF22" s="298"/>
      <c r="AG22" s="303">
        <f t="shared" si="33"/>
        <v>0</v>
      </c>
      <c r="AH22" s="292"/>
      <c r="AI22" s="297">
        <f t="shared" si="34"/>
        <v>65716.703437499993</v>
      </c>
      <c r="AJ22" s="297"/>
      <c r="AK22" s="297"/>
      <c r="AL22" s="298"/>
      <c r="AM22" s="297">
        <f t="shared" si="35"/>
        <v>392193.17156250001</v>
      </c>
      <c r="AN22" s="297">
        <f t="shared" si="36"/>
        <v>4706318.0587499999</v>
      </c>
      <c r="AO22" s="241"/>
    </row>
    <row r="23" spans="1:41" s="227" customFormat="1" ht="19.5" customHeight="1" x14ac:dyDescent="0.2">
      <c r="A23" s="292">
        <v>12</v>
      </c>
      <c r="B23" s="293" t="s">
        <v>552</v>
      </c>
      <c r="C23" s="293" t="s">
        <v>475</v>
      </c>
      <c r="D23" s="294" t="s">
        <v>37</v>
      </c>
      <c r="E23" s="295" t="s">
        <v>177</v>
      </c>
      <c r="F23" s="295">
        <v>15.7</v>
      </c>
      <c r="G23" s="296">
        <v>4.9000000000000004</v>
      </c>
      <c r="H23" s="297">
        <f t="shared" si="21"/>
        <v>173430.6</v>
      </c>
      <c r="I23" s="298">
        <v>2</v>
      </c>
      <c r="J23" s="292">
        <v>17697</v>
      </c>
      <c r="K23" s="299">
        <v>1.1000000000000001</v>
      </c>
      <c r="L23" s="300">
        <v>18</v>
      </c>
      <c r="M23" s="301">
        <f t="shared" si="22"/>
        <v>195109.42500000002</v>
      </c>
      <c r="N23" s="300">
        <v>0</v>
      </c>
      <c r="O23" s="301">
        <f t="shared" si="23"/>
        <v>0</v>
      </c>
      <c r="P23" s="300">
        <v>0</v>
      </c>
      <c r="Q23" s="297">
        <f t="shared" si="24"/>
        <v>0</v>
      </c>
      <c r="R23" s="297">
        <f t="shared" si="25"/>
        <v>48777.356250000004</v>
      </c>
      <c r="S23" s="297">
        <f t="shared" si="26"/>
        <v>243886.78125000003</v>
      </c>
      <c r="T23" s="297">
        <f t="shared" si="27"/>
        <v>24388.678125000006</v>
      </c>
      <c r="U23" s="298">
        <v>0.5</v>
      </c>
      <c r="V23" s="302">
        <f t="shared" si="28"/>
        <v>4424.25</v>
      </c>
      <c r="W23" s="298"/>
      <c r="X23" s="303">
        <f t="shared" si="29"/>
        <v>0</v>
      </c>
      <c r="Y23" s="292">
        <v>9</v>
      </c>
      <c r="Z23" s="297">
        <f t="shared" si="30"/>
        <v>3981.8250000000003</v>
      </c>
      <c r="AA23" s="298"/>
      <c r="AB23" s="297">
        <f t="shared" si="31"/>
        <v>0</v>
      </c>
      <c r="AC23" s="304"/>
      <c r="AD23" s="298"/>
      <c r="AE23" s="297">
        <f t="shared" si="32"/>
        <v>73166.034375000003</v>
      </c>
      <c r="AF23" s="298"/>
      <c r="AG23" s="303">
        <f t="shared" si="33"/>
        <v>0</v>
      </c>
      <c r="AH23" s="292"/>
      <c r="AI23" s="297">
        <f t="shared" si="34"/>
        <v>73166.034375000003</v>
      </c>
      <c r="AJ23" s="297"/>
      <c r="AK23" s="297"/>
      <c r="AL23" s="298"/>
      <c r="AM23" s="297">
        <f t="shared" si="35"/>
        <v>423013.60312500002</v>
      </c>
      <c r="AN23" s="297">
        <f t="shared" si="36"/>
        <v>5076163.2375000007</v>
      </c>
      <c r="AO23" s="241"/>
    </row>
    <row r="24" spans="1:41" s="227" customFormat="1" ht="19.5" customHeight="1" x14ac:dyDescent="0.2">
      <c r="A24" s="292">
        <v>13</v>
      </c>
      <c r="B24" s="293" t="s">
        <v>553</v>
      </c>
      <c r="C24" s="293" t="s">
        <v>475</v>
      </c>
      <c r="D24" s="294" t="s">
        <v>37</v>
      </c>
      <c r="E24" s="295" t="s">
        <v>178</v>
      </c>
      <c r="F24" s="295">
        <v>18.7</v>
      </c>
      <c r="G24" s="296">
        <v>5.03</v>
      </c>
      <c r="H24" s="297">
        <f t="shared" si="21"/>
        <v>178031.82</v>
      </c>
      <c r="I24" s="298">
        <v>2</v>
      </c>
      <c r="J24" s="292">
        <v>17697</v>
      </c>
      <c r="K24" s="299">
        <v>1</v>
      </c>
      <c r="L24" s="300">
        <v>16</v>
      </c>
      <c r="M24" s="301">
        <f t="shared" si="22"/>
        <v>178031.82</v>
      </c>
      <c r="N24" s="300">
        <v>0</v>
      </c>
      <c r="O24" s="301">
        <f t="shared" si="23"/>
        <v>0</v>
      </c>
      <c r="P24" s="300">
        <v>0</v>
      </c>
      <c r="Q24" s="297">
        <f t="shared" si="24"/>
        <v>0</v>
      </c>
      <c r="R24" s="297">
        <f t="shared" si="25"/>
        <v>44507.955000000002</v>
      </c>
      <c r="S24" s="297">
        <f t="shared" si="26"/>
        <v>222539.77500000002</v>
      </c>
      <c r="T24" s="297">
        <f t="shared" si="27"/>
        <v>22253.977500000005</v>
      </c>
      <c r="U24" s="298">
        <v>1</v>
      </c>
      <c r="V24" s="302">
        <f t="shared" si="28"/>
        <v>8848.5</v>
      </c>
      <c r="W24" s="298"/>
      <c r="X24" s="303">
        <f t="shared" si="29"/>
        <v>0</v>
      </c>
      <c r="Y24" s="292">
        <v>8</v>
      </c>
      <c r="Z24" s="297">
        <f t="shared" si="30"/>
        <v>3539.4</v>
      </c>
      <c r="AA24" s="298"/>
      <c r="AB24" s="297">
        <f t="shared" si="31"/>
        <v>0</v>
      </c>
      <c r="AC24" s="304">
        <v>36920</v>
      </c>
      <c r="AD24" s="298"/>
      <c r="AE24" s="297">
        <f t="shared" si="32"/>
        <v>66761.93250000001</v>
      </c>
      <c r="AF24" s="298"/>
      <c r="AG24" s="303">
        <f t="shared" si="33"/>
        <v>0</v>
      </c>
      <c r="AH24" s="292">
        <v>3539</v>
      </c>
      <c r="AI24" s="297"/>
      <c r="AJ24" s="297">
        <f t="shared" ref="AJ24" si="40">S24*35%</f>
        <v>77888.921249999999</v>
      </c>
      <c r="AK24" s="297"/>
      <c r="AL24" s="298"/>
      <c r="AM24" s="297">
        <f t="shared" si="35"/>
        <v>442291.50625000003</v>
      </c>
      <c r="AN24" s="297">
        <f t="shared" si="36"/>
        <v>5307498.0750000002</v>
      </c>
      <c r="AO24" s="241"/>
    </row>
    <row r="25" spans="1:41" s="227" customFormat="1" ht="19.5" customHeight="1" x14ac:dyDescent="0.2">
      <c r="A25" s="292">
        <v>14</v>
      </c>
      <c r="B25" s="293" t="s">
        <v>554</v>
      </c>
      <c r="C25" s="293" t="s">
        <v>564</v>
      </c>
      <c r="D25" s="294" t="s">
        <v>37</v>
      </c>
      <c r="E25" s="295" t="s">
        <v>177</v>
      </c>
      <c r="F25" s="295">
        <v>6.7</v>
      </c>
      <c r="G25" s="296">
        <v>4.66</v>
      </c>
      <c r="H25" s="297">
        <f t="shared" si="21"/>
        <v>164936.04</v>
      </c>
      <c r="I25" s="298">
        <v>2</v>
      </c>
      <c r="J25" s="292">
        <v>17697</v>
      </c>
      <c r="K25" s="299">
        <v>1</v>
      </c>
      <c r="L25" s="300">
        <v>2</v>
      </c>
      <c r="M25" s="301">
        <f t="shared" si="22"/>
        <v>20617.005000000001</v>
      </c>
      <c r="N25" s="300">
        <v>12</v>
      </c>
      <c r="O25" s="301">
        <f t="shared" si="23"/>
        <v>123702.03</v>
      </c>
      <c r="P25" s="300">
        <v>2</v>
      </c>
      <c r="Q25" s="297">
        <f t="shared" si="24"/>
        <v>20617.005000000001</v>
      </c>
      <c r="R25" s="297">
        <f t="shared" si="25"/>
        <v>41234.01</v>
      </c>
      <c r="S25" s="297">
        <f t="shared" si="26"/>
        <v>206170.05000000002</v>
      </c>
      <c r="T25" s="297">
        <f t="shared" si="27"/>
        <v>20617.005000000005</v>
      </c>
      <c r="U25" s="298"/>
      <c r="V25" s="302">
        <f t="shared" si="28"/>
        <v>0</v>
      </c>
      <c r="W25" s="298">
        <v>1</v>
      </c>
      <c r="X25" s="303">
        <f t="shared" si="29"/>
        <v>10618.199999999999</v>
      </c>
      <c r="Y25" s="298">
        <v>2</v>
      </c>
      <c r="Z25" s="297">
        <f t="shared" si="30"/>
        <v>884.85</v>
      </c>
      <c r="AA25" s="298">
        <v>14</v>
      </c>
      <c r="AB25" s="297">
        <f t="shared" si="31"/>
        <v>7742.4375</v>
      </c>
      <c r="AC25" s="304"/>
      <c r="AD25" s="298"/>
      <c r="AE25" s="297">
        <f t="shared" si="32"/>
        <v>61851.014999999999</v>
      </c>
      <c r="AF25" s="298"/>
      <c r="AG25" s="303">
        <f t="shared" si="33"/>
        <v>0</v>
      </c>
      <c r="AH25" s="298"/>
      <c r="AI25" s="297">
        <f t="shared" si="34"/>
        <v>61851.014999999999</v>
      </c>
      <c r="AJ25" s="297"/>
      <c r="AK25" s="297"/>
      <c r="AL25" s="298"/>
      <c r="AM25" s="297">
        <f t="shared" si="35"/>
        <v>369734.57250000007</v>
      </c>
      <c r="AN25" s="297">
        <f t="shared" si="36"/>
        <v>4436814.870000001</v>
      </c>
      <c r="AO25" s="241"/>
    </row>
    <row r="26" spans="1:41" s="227" customFormat="1" ht="19.5" customHeight="1" x14ac:dyDescent="0.2">
      <c r="A26" s="292">
        <v>15</v>
      </c>
      <c r="B26" s="293" t="s">
        <v>555</v>
      </c>
      <c r="C26" s="293" t="s">
        <v>567</v>
      </c>
      <c r="D26" s="294" t="s">
        <v>37</v>
      </c>
      <c r="E26" s="295" t="s">
        <v>174</v>
      </c>
      <c r="F26" s="295">
        <v>29.7</v>
      </c>
      <c r="G26" s="296">
        <v>5.41</v>
      </c>
      <c r="H26" s="297">
        <f t="shared" si="21"/>
        <v>191481.54</v>
      </c>
      <c r="I26" s="298">
        <v>2</v>
      </c>
      <c r="J26" s="292">
        <v>17697</v>
      </c>
      <c r="K26" s="299">
        <v>1</v>
      </c>
      <c r="L26" s="300">
        <v>0</v>
      </c>
      <c r="M26" s="301">
        <f t="shared" si="22"/>
        <v>0</v>
      </c>
      <c r="N26" s="300">
        <v>10</v>
      </c>
      <c r="O26" s="301">
        <f t="shared" si="23"/>
        <v>119675.96250000001</v>
      </c>
      <c r="P26" s="300">
        <v>6</v>
      </c>
      <c r="Q26" s="297">
        <f t="shared" si="24"/>
        <v>71805.577499999999</v>
      </c>
      <c r="R26" s="297">
        <f t="shared" si="25"/>
        <v>47870.385000000002</v>
      </c>
      <c r="S26" s="297">
        <f t="shared" si="26"/>
        <v>239351.92500000002</v>
      </c>
      <c r="T26" s="297">
        <f t="shared" si="27"/>
        <v>23935.192500000005</v>
      </c>
      <c r="U26" s="298"/>
      <c r="V26" s="302">
        <f t="shared" si="28"/>
        <v>0</v>
      </c>
      <c r="W26" s="298"/>
      <c r="X26" s="303">
        <f t="shared" si="29"/>
        <v>0</v>
      </c>
      <c r="Y26" s="292"/>
      <c r="Z26" s="297">
        <f t="shared" si="30"/>
        <v>0</v>
      </c>
      <c r="AA26" s="298">
        <v>7</v>
      </c>
      <c r="AB26" s="297">
        <f t="shared" si="31"/>
        <v>3871.21875</v>
      </c>
      <c r="AC26" s="304"/>
      <c r="AD26" s="298"/>
      <c r="AE26" s="297">
        <f t="shared" si="32"/>
        <v>71805.577499999999</v>
      </c>
      <c r="AF26" s="298"/>
      <c r="AG26" s="303">
        <f t="shared" si="33"/>
        <v>0</v>
      </c>
      <c r="AH26" s="292"/>
      <c r="AI26" s="297"/>
      <c r="AJ26" s="297"/>
      <c r="AK26" s="297">
        <f t="shared" ref="AK26" si="41">S26*40%</f>
        <v>95740.770000000019</v>
      </c>
      <c r="AL26" s="298"/>
      <c r="AM26" s="297">
        <f>S26+T26+V26+X26+Z26+AB26+AC26+AD26+AE26+AG26+AH26+AI26+AJ26+AK26+AL26</f>
        <v>434704.68375000008</v>
      </c>
      <c r="AN26" s="297">
        <f t="shared" si="36"/>
        <v>5216456.205000001</v>
      </c>
      <c r="AO26" s="241"/>
    </row>
    <row r="27" spans="1:41" s="227" customFormat="1" ht="19.5" customHeight="1" x14ac:dyDescent="0.2">
      <c r="A27" s="292">
        <v>16</v>
      </c>
      <c r="B27" s="293" t="s">
        <v>556</v>
      </c>
      <c r="C27" s="293" t="s">
        <v>477</v>
      </c>
      <c r="D27" s="294" t="s">
        <v>37</v>
      </c>
      <c r="E27" s="295" t="s">
        <v>177</v>
      </c>
      <c r="F27" s="295">
        <v>15.7</v>
      </c>
      <c r="G27" s="296">
        <v>4.9000000000000004</v>
      </c>
      <c r="H27" s="297">
        <f t="shared" si="21"/>
        <v>173430.6</v>
      </c>
      <c r="I27" s="298">
        <v>2</v>
      </c>
      <c r="J27" s="292">
        <v>17697</v>
      </c>
      <c r="K27" s="299">
        <v>1</v>
      </c>
      <c r="L27" s="300">
        <v>0</v>
      </c>
      <c r="M27" s="301">
        <f t="shared" si="22"/>
        <v>0</v>
      </c>
      <c r="N27" s="300">
        <v>10</v>
      </c>
      <c r="O27" s="301">
        <f t="shared" si="23"/>
        <v>108394.125</v>
      </c>
      <c r="P27" s="300">
        <v>6</v>
      </c>
      <c r="Q27" s="297">
        <f t="shared" si="24"/>
        <v>65036.475000000006</v>
      </c>
      <c r="R27" s="297">
        <f t="shared" si="25"/>
        <v>43357.65</v>
      </c>
      <c r="S27" s="297">
        <f t="shared" si="26"/>
        <v>216788.25</v>
      </c>
      <c r="T27" s="297">
        <f t="shared" si="27"/>
        <v>21678.825000000001</v>
      </c>
      <c r="U27" s="298"/>
      <c r="V27" s="302">
        <f t="shared" si="28"/>
        <v>0</v>
      </c>
      <c r="W27" s="298">
        <v>1</v>
      </c>
      <c r="X27" s="303">
        <f t="shared" si="29"/>
        <v>10618.199999999999</v>
      </c>
      <c r="Y27" s="292"/>
      <c r="Z27" s="297">
        <f t="shared" si="30"/>
        <v>0</v>
      </c>
      <c r="AA27" s="298"/>
      <c r="AB27" s="297">
        <f t="shared" si="31"/>
        <v>0</v>
      </c>
      <c r="AC27" s="304"/>
      <c r="AD27" s="298"/>
      <c r="AE27" s="297">
        <f t="shared" si="32"/>
        <v>65036.474999999999</v>
      </c>
      <c r="AF27" s="298"/>
      <c r="AG27" s="303">
        <f t="shared" si="33"/>
        <v>0</v>
      </c>
      <c r="AH27" s="292"/>
      <c r="AI27" s="297">
        <f t="shared" si="34"/>
        <v>65036.474999999999</v>
      </c>
      <c r="AJ27" s="297"/>
      <c r="AK27" s="297"/>
      <c r="AL27" s="298"/>
      <c r="AM27" s="297">
        <f t="shared" si="35"/>
        <v>379158.22499999998</v>
      </c>
      <c r="AN27" s="297">
        <f t="shared" si="36"/>
        <v>4549898.6999999993</v>
      </c>
      <c r="AO27" s="241"/>
    </row>
    <row r="28" spans="1:41" s="227" customFormat="1" ht="19.5" customHeight="1" x14ac:dyDescent="0.2">
      <c r="A28" s="292">
        <v>17</v>
      </c>
      <c r="B28" s="293" t="s">
        <v>508</v>
      </c>
      <c r="C28" s="293" t="s">
        <v>565</v>
      </c>
      <c r="D28" s="294" t="s">
        <v>37</v>
      </c>
      <c r="E28" s="295" t="s">
        <v>174</v>
      </c>
      <c r="F28" s="295">
        <v>26.7</v>
      </c>
      <c r="G28" s="296">
        <v>5.41</v>
      </c>
      <c r="H28" s="297">
        <f t="shared" si="21"/>
        <v>191481.54</v>
      </c>
      <c r="I28" s="298">
        <v>2</v>
      </c>
      <c r="J28" s="292">
        <v>17697</v>
      </c>
      <c r="K28" s="299">
        <v>0.5</v>
      </c>
      <c r="L28" s="300">
        <v>0</v>
      </c>
      <c r="M28" s="301">
        <f t="shared" si="22"/>
        <v>0</v>
      </c>
      <c r="N28" s="300">
        <v>7</v>
      </c>
      <c r="O28" s="301">
        <f t="shared" si="23"/>
        <v>83773.173750000002</v>
      </c>
      <c r="P28" s="300">
        <v>1</v>
      </c>
      <c r="Q28" s="297">
        <f t="shared" si="24"/>
        <v>11967.596250000001</v>
      </c>
      <c r="R28" s="297">
        <f t="shared" si="25"/>
        <v>23935.192500000001</v>
      </c>
      <c r="S28" s="297">
        <f t="shared" si="26"/>
        <v>119675.96250000001</v>
      </c>
      <c r="T28" s="297">
        <f t="shared" si="27"/>
        <v>11967.596250000002</v>
      </c>
      <c r="U28" s="298"/>
      <c r="V28" s="302">
        <f t="shared" si="28"/>
        <v>0</v>
      </c>
      <c r="W28" s="298"/>
      <c r="X28" s="303">
        <f t="shared" si="29"/>
        <v>0</v>
      </c>
      <c r="Y28" s="292"/>
      <c r="Z28" s="297">
        <f t="shared" si="30"/>
        <v>0</v>
      </c>
      <c r="AA28" s="298"/>
      <c r="AB28" s="297">
        <f t="shared" si="31"/>
        <v>0</v>
      </c>
      <c r="AC28" s="304"/>
      <c r="AD28" s="298"/>
      <c r="AE28" s="297">
        <f t="shared" si="32"/>
        <v>35902.78875</v>
      </c>
      <c r="AF28" s="298"/>
      <c r="AG28" s="303">
        <f t="shared" si="33"/>
        <v>0</v>
      </c>
      <c r="AH28" s="292"/>
      <c r="AI28" s="297"/>
      <c r="AJ28" s="297"/>
      <c r="AK28" s="297">
        <f t="shared" ref="AK28" si="42">S28*40%</f>
        <v>47870.385000000009</v>
      </c>
      <c r="AL28" s="298"/>
      <c r="AM28" s="297">
        <f t="shared" si="35"/>
        <v>215416.73250000004</v>
      </c>
      <c r="AN28" s="297">
        <f t="shared" si="36"/>
        <v>2585000.7900000005</v>
      </c>
      <c r="AO28" s="241"/>
    </row>
    <row r="29" spans="1:41" s="227" customFormat="1" ht="19.5" customHeight="1" x14ac:dyDescent="0.2">
      <c r="A29" s="367">
        <v>18</v>
      </c>
      <c r="B29" s="293" t="s">
        <v>557</v>
      </c>
      <c r="C29" s="293" t="s">
        <v>478</v>
      </c>
      <c r="D29" s="294" t="s">
        <v>37</v>
      </c>
      <c r="E29" s="295" t="s">
        <v>177</v>
      </c>
      <c r="F29" s="295">
        <v>15.7</v>
      </c>
      <c r="G29" s="296">
        <v>4.9000000000000004</v>
      </c>
      <c r="H29" s="297">
        <f t="shared" si="21"/>
        <v>173430.6</v>
      </c>
      <c r="I29" s="298">
        <v>2</v>
      </c>
      <c r="J29" s="292">
        <v>17697</v>
      </c>
      <c r="K29" s="299">
        <v>0.8</v>
      </c>
      <c r="L29" s="300">
        <v>0</v>
      </c>
      <c r="M29" s="301">
        <f t="shared" si="22"/>
        <v>0</v>
      </c>
      <c r="N29" s="300">
        <v>10</v>
      </c>
      <c r="O29" s="301">
        <f t="shared" si="23"/>
        <v>108394.125</v>
      </c>
      <c r="P29" s="300">
        <v>4</v>
      </c>
      <c r="Q29" s="297">
        <f t="shared" si="24"/>
        <v>43357.65</v>
      </c>
      <c r="R29" s="297">
        <f t="shared" si="25"/>
        <v>37937.943749999999</v>
      </c>
      <c r="S29" s="297">
        <f t="shared" si="26"/>
        <v>189689.71875</v>
      </c>
      <c r="T29" s="297">
        <f t="shared" si="27"/>
        <v>18968.971874999999</v>
      </c>
      <c r="U29" s="298"/>
      <c r="V29" s="302">
        <f t="shared" si="28"/>
        <v>0</v>
      </c>
      <c r="W29" s="298">
        <v>1</v>
      </c>
      <c r="X29" s="303">
        <f t="shared" si="29"/>
        <v>10618.199999999999</v>
      </c>
      <c r="Y29" s="292"/>
      <c r="Z29" s="297">
        <f t="shared" si="30"/>
        <v>0</v>
      </c>
      <c r="AA29" s="298"/>
      <c r="AB29" s="297">
        <f t="shared" si="31"/>
        <v>0</v>
      </c>
      <c r="AC29" s="304">
        <v>36920</v>
      </c>
      <c r="AD29" s="298"/>
      <c r="AE29" s="297">
        <f t="shared" si="32"/>
        <v>56906.915625000001</v>
      </c>
      <c r="AF29" s="298"/>
      <c r="AG29" s="303">
        <f t="shared" si="33"/>
        <v>0</v>
      </c>
      <c r="AH29" s="292">
        <v>3539</v>
      </c>
      <c r="AI29" s="297">
        <f t="shared" si="34"/>
        <v>56906.915625000001</v>
      </c>
      <c r="AJ29" s="297"/>
      <c r="AK29" s="297"/>
      <c r="AL29" s="298"/>
      <c r="AM29" s="297">
        <f t="shared" si="35"/>
        <v>373549.72187500005</v>
      </c>
      <c r="AN29" s="297">
        <f t="shared" si="36"/>
        <v>4482596.6625000006</v>
      </c>
      <c r="AO29" s="241"/>
    </row>
    <row r="30" spans="1:41" s="227" customFormat="1" ht="19.5" customHeight="1" x14ac:dyDescent="0.2">
      <c r="A30" s="368"/>
      <c r="B30" s="293" t="s">
        <v>557</v>
      </c>
      <c r="C30" s="293" t="s">
        <v>476</v>
      </c>
      <c r="D30" s="294" t="s">
        <v>37</v>
      </c>
      <c r="E30" s="295" t="s">
        <v>175</v>
      </c>
      <c r="F30" s="295">
        <v>15.7</v>
      </c>
      <c r="G30" s="296">
        <v>4.49</v>
      </c>
      <c r="H30" s="297">
        <f t="shared" ref="H30:H31" si="43">G30*I30*J30</f>
        <v>158919.06</v>
      </c>
      <c r="I30" s="298">
        <v>2</v>
      </c>
      <c r="J30" s="292">
        <v>17697</v>
      </c>
      <c r="K30" s="299">
        <v>0.1</v>
      </c>
      <c r="L30" s="300">
        <v>0</v>
      </c>
      <c r="M30" s="301">
        <f t="shared" ref="M30:M31" si="44">G30*I30*J30/16*L30</f>
        <v>0</v>
      </c>
      <c r="N30" s="300">
        <v>1</v>
      </c>
      <c r="O30" s="301">
        <f t="shared" ref="O30:O31" si="45">G30*I30*J30/16*N30</f>
        <v>9932.4412499999999</v>
      </c>
      <c r="P30" s="300">
        <v>0</v>
      </c>
      <c r="Q30" s="297">
        <f t="shared" ref="Q30:Q31" si="46">G30*I30*J30/16*P30</f>
        <v>0</v>
      </c>
      <c r="R30" s="297">
        <f t="shared" ref="R30:R31" si="47">(M30+O30+Q30)*25%</f>
        <v>2483.1103125</v>
      </c>
      <c r="S30" s="297">
        <f t="shared" ref="S30:S31" si="48">M30+O30+Q30+R30</f>
        <v>12415.551562500001</v>
      </c>
      <c r="T30" s="297">
        <f t="shared" ref="T30:T31" si="49">S30*0.1</f>
        <v>1241.5551562500002</v>
      </c>
      <c r="U30" s="298"/>
      <c r="V30" s="302">
        <f t="shared" ref="V30:V31" si="50">17697*50%*U30</f>
        <v>0</v>
      </c>
      <c r="W30" s="298"/>
      <c r="X30" s="303">
        <f t="shared" ref="X30:X31" si="51">17697*60%*W30</f>
        <v>0</v>
      </c>
      <c r="Y30" s="292"/>
      <c r="Z30" s="297">
        <f t="shared" ref="Z30:Z31" si="52">17697*40%/16*Y30</f>
        <v>0</v>
      </c>
      <c r="AA30" s="298"/>
      <c r="AB30" s="297">
        <f t="shared" ref="AB30:AB31" si="53">17697*50%/16*AA30</f>
        <v>0</v>
      </c>
      <c r="AC30" s="304"/>
      <c r="AD30" s="298"/>
      <c r="AE30" s="297">
        <f t="shared" ref="AE30:AE31" si="54">S30*0.3</f>
        <v>3724.6654687499999</v>
      </c>
      <c r="AF30" s="298"/>
      <c r="AG30" s="303">
        <f t="shared" ref="AG30:AG31" si="55">17697*40%/16*AF30</f>
        <v>0</v>
      </c>
      <c r="AH30" s="292"/>
      <c r="AI30" s="297"/>
      <c r="AJ30" s="297"/>
      <c r="AK30" s="297"/>
      <c r="AL30" s="298"/>
      <c r="AM30" s="297">
        <f t="shared" ref="AM30" si="56">S30+T30+V30+X30+Z30+AB30+AC30+AD30+AE30+AG30+AH30+AI30+AJ30+AK30+AL30</f>
        <v>17381.772187500002</v>
      </c>
      <c r="AN30" s="297">
        <f t="shared" ref="AN30" si="57">AM30*12</f>
        <v>208581.26625000004</v>
      </c>
      <c r="AO30" s="241"/>
    </row>
    <row r="31" spans="1:41" s="227" customFormat="1" ht="19.5" customHeight="1" x14ac:dyDescent="0.2">
      <c r="A31" s="292">
        <v>19</v>
      </c>
      <c r="B31" s="293" t="s">
        <v>578</v>
      </c>
      <c r="C31" s="293" t="s">
        <v>579</v>
      </c>
      <c r="D31" s="294" t="s">
        <v>37</v>
      </c>
      <c r="E31" s="295" t="s">
        <v>175</v>
      </c>
      <c r="F31" s="295">
        <v>11.7</v>
      </c>
      <c r="G31" s="296">
        <v>4.38</v>
      </c>
      <c r="H31" s="297">
        <f t="shared" si="43"/>
        <v>155025.72</v>
      </c>
      <c r="I31" s="298">
        <v>2</v>
      </c>
      <c r="J31" s="292">
        <v>17697</v>
      </c>
      <c r="K31" s="299">
        <v>0.1</v>
      </c>
      <c r="L31" s="300">
        <v>2</v>
      </c>
      <c r="M31" s="301">
        <f t="shared" si="44"/>
        <v>19378.215</v>
      </c>
      <c r="N31" s="300">
        <v>0</v>
      </c>
      <c r="O31" s="301">
        <f t="shared" si="45"/>
        <v>0</v>
      </c>
      <c r="P31" s="300">
        <v>0</v>
      </c>
      <c r="Q31" s="297">
        <f t="shared" si="46"/>
        <v>0</v>
      </c>
      <c r="R31" s="297">
        <f t="shared" si="47"/>
        <v>4844.55375</v>
      </c>
      <c r="S31" s="297">
        <f t="shared" si="48"/>
        <v>24222.768749999999</v>
      </c>
      <c r="T31" s="297">
        <f t="shared" si="49"/>
        <v>2422.276875</v>
      </c>
      <c r="U31" s="298"/>
      <c r="V31" s="302">
        <f t="shared" si="50"/>
        <v>0</v>
      </c>
      <c r="W31" s="298"/>
      <c r="X31" s="303">
        <f t="shared" si="51"/>
        <v>0</v>
      </c>
      <c r="Y31" s="292"/>
      <c r="Z31" s="297">
        <f t="shared" si="52"/>
        <v>0</v>
      </c>
      <c r="AA31" s="298"/>
      <c r="AB31" s="297">
        <f t="shared" si="53"/>
        <v>0</v>
      </c>
      <c r="AC31" s="304"/>
      <c r="AD31" s="298"/>
      <c r="AE31" s="297">
        <f t="shared" si="54"/>
        <v>7266.8306249999996</v>
      </c>
      <c r="AF31" s="298"/>
      <c r="AG31" s="303">
        <f t="shared" si="55"/>
        <v>0</v>
      </c>
      <c r="AH31" s="292"/>
      <c r="AI31" s="297"/>
      <c r="AJ31" s="297"/>
      <c r="AK31" s="297"/>
      <c r="AL31" s="298"/>
      <c r="AM31" s="297">
        <f t="shared" ref="AM31" si="58">S31+T31+V31+X31+Z31+AB31+AC31+AD31+AE31+AG31+AH31+AI31+AJ31+AK31+AL31</f>
        <v>33911.876250000001</v>
      </c>
      <c r="AN31" s="297">
        <f t="shared" ref="AN31" si="59">AM31*12</f>
        <v>406942.51500000001</v>
      </c>
      <c r="AO31" s="241"/>
    </row>
    <row r="32" spans="1:41" s="227" customFormat="1" ht="19.5" customHeight="1" x14ac:dyDescent="0.2">
      <c r="A32" s="292">
        <v>20</v>
      </c>
      <c r="B32" s="293" t="s">
        <v>518</v>
      </c>
      <c r="C32" s="293" t="s">
        <v>482</v>
      </c>
      <c r="D32" s="294" t="s">
        <v>37</v>
      </c>
      <c r="E32" s="295" t="s">
        <v>175</v>
      </c>
      <c r="F32" s="295">
        <v>6.7</v>
      </c>
      <c r="G32" s="296">
        <v>4.2699999999999996</v>
      </c>
      <c r="H32" s="297">
        <f t="shared" si="21"/>
        <v>151132.37999999998</v>
      </c>
      <c r="I32" s="298">
        <v>2</v>
      </c>
      <c r="J32" s="292">
        <v>17697</v>
      </c>
      <c r="K32" s="299">
        <v>0.2</v>
      </c>
      <c r="L32" s="300">
        <v>0</v>
      </c>
      <c r="M32" s="301">
        <f t="shared" si="22"/>
        <v>0</v>
      </c>
      <c r="N32" s="300">
        <v>0</v>
      </c>
      <c r="O32" s="301">
        <f t="shared" si="23"/>
        <v>0</v>
      </c>
      <c r="P32" s="300">
        <v>3</v>
      </c>
      <c r="Q32" s="297">
        <f t="shared" si="24"/>
        <v>28337.321249999994</v>
      </c>
      <c r="R32" s="297">
        <f t="shared" si="25"/>
        <v>7084.3303124999984</v>
      </c>
      <c r="S32" s="297">
        <f t="shared" si="26"/>
        <v>35421.651562499988</v>
      </c>
      <c r="T32" s="297">
        <f t="shared" si="27"/>
        <v>3542.1651562499992</v>
      </c>
      <c r="U32" s="298"/>
      <c r="V32" s="302">
        <f t="shared" si="28"/>
        <v>0</v>
      </c>
      <c r="W32" s="298"/>
      <c r="X32" s="303">
        <f t="shared" si="29"/>
        <v>0</v>
      </c>
      <c r="Y32" s="292"/>
      <c r="Z32" s="297">
        <f t="shared" si="30"/>
        <v>0</v>
      </c>
      <c r="AA32" s="298"/>
      <c r="AB32" s="297">
        <f t="shared" si="31"/>
        <v>0</v>
      </c>
      <c r="AC32" s="304"/>
      <c r="AD32" s="298"/>
      <c r="AE32" s="297">
        <f t="shared" si="32"/>
        <v>10626.495468749996</v>
      </c>
      <c r="AF32" s="298"/>
      <c r="AG32" s="303">
        <f t="shared" si="33"/>
        <v>0</v>
      </c>
      <c r="AH32" s="292"/>
      <c r="AI32" s="297"/>
      <c r="AJ32" s="297"/>
      <c r="AK32" s="297"/>
      <c r="AL32" s="298"/>
      <c r="AM32" s="297">
        <f t="shared" si="35"/>
        <v>49590.312187499978</v>
      </c>
      <c r="AN32" s="297">
        <f t="shared" si="36"/>
        <v>595083.74624999973</v>
      </c>
      <c r="AO32" s="241"/>
    </row>
    <row r="33" spans="1:41" s="227" customFormat="1" ht="19.5" customHeight="1" x14ac:dyDescent="0.2">
      <c r="A33" s="292">
        <v>21</v>
      </c>
      <c r="B33" s="293" t="s">
        <v>577</v>
      </c>
      <c r="C33" s="293" t="s">
        <v>566</v>
      </c>
      <c r="D33" s="294" t="s">
        <v>37</v>
      </c>
      <c r="E33" s="295" t="s">
        <v>177</v>
      </c>
      <c r="F33" s="295">
        <v>8</v>
      </c>
      <c r="G33" s="296">
        <v>4.74</v>
      </c>
      <c r="H33" s="297">
        <f t="shared" ref="H33" si="60">G33*I33*J33</f>
        <v>167767.56</v>
      </c>
      <c r="I33" s="298">
        <v>2</v>
      </c>
      <c r="J33" s="292">
        <v>17697</v>
      </c>
      <c r="K33" s="299">
        <v>0.9</v>
      </c>
      <c r="L33" s="300">
        <v>12</v>
      </c>
      <c r="M33" s="301">
        <f t="shared" ref="M33" si="61">G33*I33*J33/16*L33</f>
        <v>125825.67</v>
      </c>
      <c r="N33" s="300">
        <v>3</v>
      </c>
      <c r="O33" s="301">
        <f t="shared" ref="O33" si="62">G33*I33*J33/16*N33</f>
        <v>31456.4175</v>
      </c>
      <c r="P33" s="300">
        <v>0</v>
      </c>
      <c r="Q33" s="297">
        <f t="shared" ref="Q33" si="63">G33*I33*J33/16*P33</f>
        <v>0</v>
      </c>
      <c r="R33" s="297">
        <f t="shared" ref="R33" si="64">(M33+O33+Q33)*25%</f>
        <v>39320.521874999999</v>
      </c>
      <c r="S33" s="297">
        <f t="shared" ref="S33" si="65">M33+O33+Q33+R33</f>
        <v>196602.609375</v>
      </c>
      <c r="T33" s="297">
        <f t="shared" ref="T33" si="66">S33*0.1</f>
        <v>19660.260937500003</v>
      </c>
      <c r="U33" s="298"/>
      <c r="V33" s="302">
        <f t="shared" ref="V33" si="67">17697*50%*U33</f>
        <v>0</v>
      </c>
      <c r="W33" s="298"/>
      <c r="X33" s="303">
        <f t="shared" ref="X33" si="68">17697*60%*W33</f>
        <v>0</v>
      </c>
      <c r="Y33" s="292"/>
      <c r="Z33" s="297">
        <f t="shared" ref="Z33" si="69">17697*40%/16*Y33</f>
        <v>0</v>
      </c>
      <c r="AA33" s="298"/>
      <c r="AB33" s="297">
        <f t="shared" ref="AB33" si="70">17697*50%/16*AA33</f>
        <v>0</v>
      </c>
      <c r="AC33" s="304"/>
      <c r="AD33" s="298"/>
      <c r="AE33" s="297">
        <f t="shared" ref="AE33" si="71">S33*0.3</f>
        <v>58980.782812499994</v>
      </c>
      <c r="AF33" s="298"/>
      <c r="AG33" s="303">
        <f t="shared" ref="AG33" si="72">17697*40%/16*AF33</f>
        <v>0</v>
      </c>
      <c r="AH33" s="292"/>
      <c r="AI33" s="297">
        <f t="shared" si="34"/>
        <v>58980.782812499994</v>
      </c>
      <c r="AJ33" s="297"/>
      <c r="AK33" s="297"/>
      <c r="AL33" s="298"/>
      <c r="AM33" s="297">
        <f t="shared" ref="AM33" si="73">S33+T33+V33+X33+Z33+AB33+AC33+AD33+AE33+AG33+AH33+AI33+AJ33+AK33+AL33</f>
        <v>334224.43593749998</v>
      </c>
      <c r="AN33" s="297">
        <f t="shared" ref="AN33" si="74">AM33*12</f>
        <v>4010693.2312499997</v>
      </c>
      <c r="AO33" s="241"/>
    </row>
    <row r="34" spans="1:41" s="227" customFormat="1" ht="19.5" customHeight="1" x14ac:dyDescent="0.2">
      <c r="A34" s="292">
        <v>22</v>
      </c>
      <c r="B34" s="293" t="s">
        <v>558</v>
      </c>
      <c r="C34" s="293" t="s">
        <v>475</v>
      </c>
      <c r="D34" s="294" t="s">
        <v>37</v>
      </c>
      <c r="E34" s="295" t="s">
        <v>174</v>
      </c>
      <c r="F34" s="295">
        <v>27.7</v>
      </c>
      <c r="G34" s="296">
        <v>5.41</v>
      </c>
      <c r="H34" s="297">
        <f t="shared" si="21"/>
        <v>191481.54</v>
      </c>
      <c r="I34" s="298">
        <v>2</v>
      </c>
      <c r="J34" s="292">
        <v>17697</v>
      </c>
      <c r="K34" s="299">
        <v>1.1000000000000001</v>
      </c>
      <c r="L34" s="300">
        <v>17</v>
      </c>
      <c r="M34" s="301">
        <f t="shared" si="22"/>
        <v>203449.13625000001</v>
      </c>
      <c r="N34" s="300">
        <v>0</v>
      </c>
      <c r="O34" s="301">
        <f t="shared" si="23"/>
        <v>0</v>
      </c>
      <c r="P34" s="300">
        <v>0</v>
      </c>
      <c r="Q34" s="297">
        <f t="shared" si="24"/>
        <v>0</v>
      </c>
      <c r="R34" s="297">
        <f t="shared" si="25"/>
        <v>50862.284062500003</v>
      </c>
      <c r="S34" s="297">
        <f t="shared" si="26"/>
        <v>254311.42031250001</v>
      </c>
      <c r="T34" s="297">
        <f t="shared" si="27"/>
        <v>25431.142031250001</v>
      </c>
      <c r="U34" s="298">
        <v>1</v>
      </c>
      <c r="V34" s="302">
        <f t="shared" si="28"/>
        <v>8848.5</v>
      </c>
      <c r="W34" s="298"/>
      <c r="X34" s="303">
        <f t="shared" si="29"/>
        <v>0</v>
      </c>
      <c r="Y34" s="292">
        <v>8</v>
      </c>
      <c r="Z34" s="297">
        <f t="shared" si="30"/>
        <v>3539.4</v>
      </c>
      <c r="AA34" s="298"/>
      <c r="AB34" s="297">
        <f t="shared" si="31"/>
        <v>0</v>
      </c>
      <c r="AC34" s="304"/>
      <c r="AD34" s="298"/>
      <c r="AE34" s="297">
        <f t="shared" si="32"/>
        <v>76293.426093749993</v>
      </c>
      <c r="AF34" s="298"/>
      <c r="AG34" s="303">
        <f t="shared" si="33"/>
        <v>0</v>
      </c>
      <c r="AH34" s="292"/>
      <c r="AI34" s="297"/>
      <c r="AJ34" s="297"/>
      <c r="AK34" s="297">
        <f t="shared" ref="AK34:AK37" si="75">S34*40%</f>
        <v>101724.56812500001</v>
      </c>
      <c r="AL34" s="298"/>
      <c r="AM34" s="297">
        <f t="shared" si="35"/>
        <v>470148.45656250004</v>
      </c>
      <c r="AN34" s="297">
        <f t="shared" si="36"/>
        <v>5641781.4787500007</v>
      </c>
      <c r="AO34" s="241"/>
    </row>
    <row r="35" spans="1:41" s="227" customFormat="1" ht="19.5" customHeight="1" x14ac:dyDescent="0.2">
      <c r="A35" s="292">
        <v>23</v>
      </c>
      <c r="B35" s="293" t="s">
        <v>559</v>
      </c>
      <c r="C35" s="293" t="s">
        <v>480</v>
      </c>
      <c r="D35" s="294" t="s">
        <v>37</v>
      </c>
      <c r="E35" s="295" t="s">
        <v>174</v>
      </c>
      <c r="F35" s="295">
        <v>29.7</v>
      </c>
      <c r="G35" s="296">
        <v>5.41</v>
      </c>
      <c r="H35" s="297">
        <f t="shared" si="21"/>
        <v>191481.54</v>
      </c>
      <c r="I35" s="298">
        <v>2</v>
      </c>
      <c r="J35" s="292">
        <v>17697</v>
      </c>
      <c r="K35" s="299">
        <v>1.3</v>
      </c>
      <c r="L35" s="300">
        <v>0</v>
      </c>
      <c r="M35" s="301">
        <f t="shared" si="22"/>
        <v>0</v>
      </c>
      <c r="N35" s="300">
        <v>9</v>
      </c>
      <c r="O35" s="301">
        <f t="shared" si="23"/>
        <v>107708.36625000001</v>
      </c>
      <c r="P35" s="300">
        <v>12</v>
      </c>
      <c r="Q35" s="297">
        <f t="shared" si="24"/>
        <v>143611.155</v>
      </c>
      <c r="R35" s="297">
        <f t="shared" si="25"/>
        <v>62829.880312499998</v>
      </c>
      <c r="S35" s="297">
        <f t="shared" si="26"/>
        <v>314149.40156249999</v>
      </c>
      <c r="T35" s="297">
        <f t="shared" si="27"/>
        <v>31414.940156249999</v>
      </c>
      <c r="U35" s="298"/>
      <c r="V35" s="302">
        <f t="shared" si="28"/>
        <v>0</v>
      </c>
      <c r="W35" s="298">
        <v>1</v>
      </c>
      <c r="X35" s="303">
        <f t="shared" si="29"/>
        <v>10618.199999999999</v>
      </c>
      <c r="Y35" s="292">
        <v>21</v>
      </c>
      <c r="Z35" s="297">
        <f t="shared" si="30"/>
        <v>9290.9250000000011</v>
      </c>
      <c r="AA35" s="298"/>
      <c r="AB35" s="297">
        <f t="shared" si="31"/>
        <v>0</v>
      </c>
      <c r="AC35" s="304"/>
      <c r="AD35" s="298"/>
      <c r="AE35" s="297">
        <f t="shared" si="32"/>
        <v>94244.820468749997</v>
      </c>
      <c r="AF35" s="298"/>
      <c r="AG35" s="303">
        <f t="shared" si="33"/>
        <v>0</v>
      </c>
      <c r="AH35" s="292"/>
      <c r="AI35" s="297"/>
      <c r="AJ35" s="297"/>
      <c r="AK35" s="297">
        <f t="shared" si="75"/>
        <v>125659.760625</v>
      </c>
      <c r="AL35" s="298"/>
      <c r="AM35" s="297">
        <f t="shared" si="35"/>
        <v>585378.04781249992</v>
      </c>
      <c r="AN35" s="297">
        <f t="shared" si="36"/>
        <v>7024536.5737499986</v>
      </c>
      <c r="AO35" s="241"/>
    </row>
    <row r="36" spans="1:41" s="227" customFormat="1" ht="19.5" customHeight="1" x14ac:dyDescent="0.2">
      <c r="A36" s="292">
        <v>24</v>
      </c>
      <c r="B36" s="293" t="s">
        <v>560</v>
      </c>
      <c r="C36" s="293" t="s">
        <v>481</v>
      </c>
      <c r="D36" s="294" t="s">
        <v>37</v>
      </c>
      <c r="E36" s="295" t="s">
        <v>178</v>
      </c>
      <c r="F36" s="295">
        <v>12.7</v>
      </c>
      <c r="G36" s="296">
        <v>4.8600000000000003</v>
      </c>
      <c r="H36" s="297">
        <f t="shared" si="21"/>
        <v>172014.84000000003</v>
      </c>
      <c r="I36" s="298">
        <v>2</v>
      </c>
      <c r="J36" s="292">
        <v>17697</v>
      </c>
      <c r="K36" s="299">
        <v>1</v>
      </c>
      <c r="L36" s="300">
        <v>0</v>
      </c>
      <c r="M36" s="301">
        <f t="shared" si="22"/>
        <v>0</v>
      </c>
      <c r="N36" s="300">
        <v>9</v>
      </c>
      <c r="O36" s="301">
        <f t="shared" si="23"/>
        <v>96758.347500000018</v>
      </c>
      <c r="P36" s="300">
        <v>7</v>
      </c>
      <c r="Q36" s="297">
        <f t="shared" si="24"/>
        <v>75256.492500000008</v>
      </c>
      <c r="R36" s="297">
        <f t="shared" si="25"/>
        <v>43003.710000000006</v>
      </c>
      <c r="S36" s="297">
        <f t="shared" si="26"/>
        <v>215018.55000000005</v>
      </c>
      <c r="T36" s="297">
        <f t="shared" si="27"/>
        <v>21501.855000000007</v>
      </c>
      <c r="U36" s="298"/>
      <c r="V36" s="302">
        <f t="shared" si="28"/>
        <v>0</v>
      </c>
      <c r="W36" s="298">
        <v>0.5</v>
      </c>
      <c r="X36" s="303">
        <f t="shared" si="29"/>
        <v>5309.0999999999995</v>
      </c>
      <c r="Y36" s="292"/>
      <c r="Z36" s="297">
        <f t="shared" si="30"/>
        <v>0</v>
      </c>
      <c r="AA36" s="298"/>
      <c r="AB36" s="297">
        <f t="shared" si="31"/>
        <v>0</v>
      </c>
      <c r="AC36" s="304"/>
      <c r="AD36" s="298"/>
      <c r="AE36" s="297">
        <f t="shared" si="32"/>
        <v>64505.56500000001</v>
      </c>
      <c r="AF36" s="298"/>
      <c r="AG36" s="303">
        <f t="shared" si="33"/>
        <v>0</v>
      </c>
      <c r="AH36" s="292"/>
      <c r="AI36" s="297"/>
      <c r="AJ36" s="297">
        <f t="shared" ref="AJ36:AJ38" si="76">S36*35%</f>
        <v>75256.492500000008</v>
      </c>
      <c r="AK36" s="297"/>
      <c r="AL36" s="298"/>
      <c r="AM36" s="297">
        <f t="shared" si="35"/>
        <v>381591.56250000006</v>
      </c>
      <c r="AN36" s="297">
        <f t="shared" si="36"/>
        <v>4579098.7500000009</v>
      </c>
      <c r="AO36" s="241"/>
    </row>
    <row r="37" spans="1:41" s="227" customFormat="1" ht="19.5" customHeight="1" x14ac:dyDescent="0.2">
      <c r="A37" s="292">
        <v>25</v>
      </c>
      <c r="B37" s="293" t="s">
        <v>561</v>
      </c>
      <c r="C37" s="293" t="s">
        <v>567</v>
      </c>
      <c r="D37" s="294" t="s">
        <v>37</v>
      </c>
      <c r="E37" s="295" t="s">
        <v>174</v>
      </c>
      <c r="F37" s="295">
        <v>31.7</v>
      </c>
      <c r="G37" s="296">
        <v>5.41</v>
      </c>
      <c r="H37" s="297">
        <f t="shared" si="21"/>
        <v>191481.54</v>
      </c>
      <c r="I37" s="298">
        <v>2</v>
      </c>
      <c r="J37" s="292">
        <v>17697</v>
      </c>
      <c r="K37" s="299">
        <f t="shared" ref="K37" si="77">SUM(L37+N37+P37)/16</f>
        <v>1</v>
      </c>
      <c r="L37" s="300">
        <v>0</v>
      </c>
      <c r="M37" s="301">
        <f t="shared" si="22"/>
        <v>0</v>
      </c>
      <c r="N37" s="300">
        <v>15</v>
      </c>
      <c r="O37" s="301">
        <f t="shared" si="23"/>
        <v>179513.94375000001</v>
      </c>
      <c r="P37" s="300">
        <v>1</v>
      </c>
      <c r="Q37" s="297">
        <f t="shared" si="24"/>
        <v>11967.596250000001</v>
      </c>
      <c r="R37" s="297">
        <f t="shared" si="25"/>
        <v>47870.385000000002</v>
      </c>
      <c r="S37" s="297">
        <f t="shared" si="26"/>
        <v>239351.92500000002</v>
      </c>
      <c r="T37" s="297">
        <f t="shared" si="27"/>
        <v>23935.192500000005</v>
      </c>
      <c r="U37" s="298"/>
      <c r="V37" s="302">
        <f t="shared" si="28"/>
        <v>0</v>
      </c>
      <c r="W37" s="298"/>
      <c r="X37" s="303">
        <f t="shared" si="29"/>
        <v>0</v>
      </c>
      <c r="Y37" s="292"/>
      <c r="Z37" s="297">
        <f t="shared" si="30"/>
        <v>0</v>
      </c>
      <c r="AA37" s="298">
        <v>8</v>
      </c>
      <c r="AB37" s="297">
        <f t="shared" si="31"/>
        <v>4424.25</v>
      </c>
      <c r="AC37" s="304"/>
      <c r="AD37" s="298"/>
      <c r="AE37" s="297">
        <f t="shared" si="32"/>
        <v>71805.577499999999</v>
      </c>
      <c r="AF37" s="298"/>
      <c r="AG37" s="303">
        <f t="shared" si="33"/>
        <v>0</v>
      </c>
      <c r="AH37" s="292"/>
      <c r="AI37" s="297"/>
      <c r="AJ37" s="297"/>
      <c r="AK37" s="297">
        <f t="shared" si="75"/>
        <v>95740.770000000019</v>
      </c>
      <c r="AL37" s="298"/>
      <c r="AM37" s="297">
        <f t="shared" si="35"/>
        <v>435257.71500000008</v>
      </c>
      <c r="AN37" s="297">
        <f t="shared" si="36"/>
        <v>5223092.580000001</v>
      </c>
      <c r="AO37" s="241"/>
    </row>
    <row r="38" spans="1:41" s="227" customFormat="1" ht="19.5" customHeight="1" x14ac:dyDescent="0.2">
      <c r="A38" s="292">
        <v>26</v>
      </c>
      <c r="B38" s="293" t="s">
        <v>510</v>
      </c>
      <c r="C38" s="293" t="s">
        <v>476</v>
      </c>
      <c r="D38" s="294" t="s">
        <v>37</v>
      </c>
      <c r="E38" s="295" t="s">
        <v>178</v>
      </c>
      <c r="F38" s="295">
        <v>10.7</v>
      </c>
      <c r="G38" s="296">
        <v>4.8600000000000003</v>
      </c>
      <c r="H38" s="297">
        <f t="shared" si="21"/>
        <v>172014.84000000003</v>
      </c>
      <c r="I38" s="298">
        <v>2</v>
      </c>
      <c r="J38" s="292">
        <v>17697</v>
      </c>
      <c r="K38" s="299">
        <v>0.5</v>
      </c>
      <c r="L38" s="300">
        <v>0</v>
      </c>
      <c r="M38" s="301">
        <f t="shared" si="22"/>
        <v>0</v>
      </c>
      <c r="N38" s="300">
        <v>4</v>
      </c>
      <c r="O38" s="301">
        <f t="shared" si="23"/>
        <v>43003.710000000006</v>
      </c>
      <c r="P38" s="300">
        <v>4</v>
      </c>
      <c r="Q38" s="297">
        <f t="shared" si="24"/>
        <v>43003.710000000006</v>
      </c>
      <c r="R38" s="297">
        <f t="shared" si="25"/>
        <v>21501.855000000003</v>
      </c>
      <c r="S38" s="297">
        <f t="shared" si="26"/>
        <v>107509.27500000002</v>
      </c>
      <c r="T38" s="297">
        <f t="shared" si="27"/>
        <v>10750.927500000003</v>
      </c>
      <c r="U38" s="298"/>
      <c r="V38" s="302">
        <f t="shared" si="28"/>
        <v>0</v>
      </c>
      <c r="W38" s="298"/>
      <c r="X38" s="303">
        <f t="shared" si="29"/>
        <v>0</v>
      </c>
      <c r="Y38" s="292"/>
      <c r="Z38" s="297">
        <f t="shared" si="30"/>
        <v>0</v>
      </c>
      <c r="AA38" s="298"/>
      <c r="AB38" s="297">
        <f t="shared" si="31"/>
        <v>0</v>
      </c>
      <c r="AC38" s="304">
        <v>36920</v>
      </c>
      <c r="AD38" s="298"/>
      <c r="AE38" s="297">
        <f t="shared" si="32"/>
        <v>32252.782500000005</v>
      </c>
      <c r="AF38" s="298"/>
      <c r="AG38" s="303">
        <f t="shared" si="33"/>
        <v>0</v>
      </c>
      <c r="AH38" s="292"/>
      <c r="AI38" s="297"/>
      <c r="AJ38" s="297">
        <f t="shared" si="76"/>
        <v>37628.246250000004</v>
      </c>
      <c r="AK38" s="297"/>
      <c r="AL38" s="298"/>
      <c r="AM38" s="297">
        <f>S38+T38+V38+X38+Z38+AB38+AC38+AD38+AE38+AG38+AH38+AI38+AJ38+AK38+AL38</f>
        <v>225061.23125000001</v>
      </c>
      <c r="AN38" s="297">
        <f t="shared" si="36"/>
        <v>2700734.7750000004</v>
      </c>
      <c r="AO38" s="241"/>
    </row>
    <row r="39" spans="1:41" s="227" customFormat="1" ht="19.5" customHeight="1" x14ac:dyDescent="0.2">
      <c r="A39" s="292">
        <v>27</v>
      </c>
      <c r="B39" s="293" t="s">
        <v>598</v>
      </c>
      <c r="C39" s="293" t="s">
        <v>474</v>
      </c>
      <c r="D39" s="294" t="s">
        <v>37</v>
      </c>
      <c r="E39" s="295" t="s">
        <v>175</v>
      </c>
      <c r="F39" s="295">
        <v>2</v>
      </c>
      <c r="G39" s="296">
        <v>4.1900000000000004</v>
      </c>
      <c r="H39" s="297">
        <f t="shared" si="21"/>
        <v>148300.86000000002</v>
      </c>
      <c r="I39" s="298">
        <v>2</v>
      </c>
      <c r="J39" s="292">
        <v>17697</v>
      </c>
      <c r="K39" s="299">
        <v>1.4</v>
      </c>
      <c r="L39" s="300">
        <v>4</v>
      </c>
      <c r="M39" s="301">
        <f t="shared" si="22"/>
        <v>37075.215000000004</v>
      </c>
      <c r="N39" s="300">
        <v>12</v>
      </c>
      <c r="O39" s="301">
        <f t="shared" si="23"/>
        <v>111225.64500000002</v>
      </c>
      <c r="P39" s="300">
        <v>6</v>
      </c>
      <c r="Q39" s="297">
        <f t="shared" si="24"/>
        <v>55612.822500000009</v>
      </c>
      <c r="R39" s="297">
        <f t="shared" si="25"/>
        <v>50978.420625000006</v>
      </c>
      <c r="S39" s="297">
        <f t="shared" si="26"/>
        <v>254892.10312500002</v>
      </c>
      <c r="T39" s="297">
        <f t="shared" si="27"/>
        <v>25489.210312500003</v>
      </c>
      <c r="U39" s="298"/>
      <c r="V39" s="302">
        <f t="shared" si="28"/>
        <v>0</v>
      </c>
      <c r="W39" s="298"/>
      <c r="X39" s="303">
        <f t="shared" si="29"/>
        <v>0</v>
      </c>
      <c r="Y39" s="292">
        <v>4</v>
      </c>
      <c r="Z39" s="297">
        <f t="shared" si="30"/>
        <v>1769.7</v>
      </c>
      <c r="AA39" s="298">
        <v>18</v>
      </c>
      <c r="AB39" s="297">
        <f t="shared" si="31"/>
        <v>9954.5625</v>
      </c>
      <c r="AC39" s="304"/>
      <c r="AD39" s="298"/>
      <c r="AE39" s="297">
        <f t="shared" si="32"/>
        <v>76467.630937499998</v>
      </c>
      <c r="AF39" s="298"/>
      <c r="AG39" s="303">
        <f t="shared" si="33"/>
        <v>0</v>
      </c>
      <c r="AH39" s="292"/>
      <c r="AI39" s="297"/>
      <c r="AJ39" s="297"/>
      <c r="AK39" s="297"/>
      <c r="AL39" s="298"/>
      <c r="AM39" s="297">
        <f>S39+T39+V39+X39+Z39+AB39+AC39+AD39+AE39+AG39+AH39+AI39+AJ39+AK39+AL39</f>
        <v>368573.20687500003</v>
      </c>
      <c r="AN39" s="297">
        <f t="shared" si="36"/>
        <v>4422878.4824999999</v>
      </c>
      <c r="AO39" s="241"/>
    </row>
    <row r="40" spans="1:41" s="244" customFormat="1" ht="18.75" customHeight="1" x14ac:dyDescent="0.2">
      <c r="A40" s="322">
        <v>28</v>
      </c>
      <c r="B40" s="293" t="s">
        <v>597</v>
      </c>
      <c r="C40" s="293" t="s">
        <v>487</v>
      </c>
      <c r="D40" s="294" t="s">
        <v>37</v>
      </c>
      <c r="E40" s="295" t="s">
        <v>175</v>
      </c>
      <c r="F40" s="295">
        <v>16</v>
      </c>
      <c r="G40" s="296">
        <v>4.59</v>
      </c>
      <c r="H40" s="297">
        <f t="shared" ref="H40" si="78">G40*I40*J40</f>
        <v>162458.46</v>
      </c>
      <c r="I40" s="298">
        <v>2</v>
      </c>
      <c r="J40" s="292">
        <v>17697</v>
      </c>
      <c r="K40" s="299">
        <v>0.125</v>
      </c>
      <c r="L40" s="300">
        <v>0</v>
      </c>
      <c r="M40" s="301">
        <f t="shared" ref="M40" si="79">G40*I40*J40/16*L40</f>
        <v>0</v>
      </c>
      <c r="N40" s="300">
        <v>2</v>
      </c>
      <c r="O40" s="301">
        <f t="shared" ref="O40" si="80">G40*I40*J40/16*N40</f>
        <v>20307.307499999999</v>
      </c>
      <c r="P40" s="300">
        <v>0</v>
      </c>
      <c r="Q40" s="297">
        <f t="shared" ref="Q40" si="81">G40*I40*J40/16*P40</f>
        <v>0</v>
      </c>
      <c r="R40" s="297">
        <f t="shared" ref="R40" si="82">(M40+O40+Q40)*25%</f>
        <v>5076.8268749999997</v>
      </c>
      <c r="S40" s="297">
        <f t="shared" ref="S40" si="83">M40+O40+Q40+R40</f>
        <v>25384.134374999998</v>
      </c>
      <c r="T40" s="297">
        <f t="shared" ref="T40" si="84">S40*0.1</f>
        <v>2538.4134374999999</v>
      </c>
      <c r="U40" s="298"/>
      <c r="V40" s="302">
        <f t="shared" ref="V40" si="85">17697*50%*U40</f>
        <v>0</v>
      </c>
      <c r="W40" s="298"/>
      <c r="X40" s="303">
        <f t="shared" ref="X40" si="86">17697*60%*W40</f>
        <v>0</v>
      </c>
      <c r="Y40" s="292"/>
      <c r="Z40" s="297">
        <f t="shared" ref="Z40" si="87">17697*40%/16*Y40</f>
        <v>0</v>
      </c>
      <c r="AA40" s="298"/>
      <c r="AB40" s="297">
        <f t="shared" ref="AB40" si="88">17697*50%/16*AA40</f>
        <v>0</v>
      </c>
      <c r="AC40" s="304"/>
      <c r="AD40" s="298"/>
      <c r="AE40" s="297">
        <f t="shared" ref="AE40" si="89">S40*0.3</f>
        <v>7615.2403124999992</v>
      </c>
      <c r="AF40" s="298"/>
      <c r="AG40" s="303">
        <f t="shared" ref="AG40" si="90">17697*40%/16*AF40</f>
        <v>0</v>
      </c>
      <c r="AH40" s="292"/>
      <c r="AI40" s="297"/>
      <c r="AJ40" s="297"/>
      <c r="AK40" s="297"/>
      <c r="AL40" s="298"/>
      <c r="AM40" s="297">
        <f>S40+T40+V40+X40+Z40+AB40+AC40+AD40+AE40+AG40+AH40+AI40+AJ40+AK40+AL40</f>
        <v>35537.788124999999</v>
      </c>
      <c r="AN40" s="297">
        <f t="shared" ref="AN40" si="91">AM40*12</f>
        <v>426453.45750000002</v>
      </c>
    </row>
    <row r="43" spans="1:41" ht="20.25" x14ac:dyDescent="0.3">
      <c r="AC43" s="281" t="s">
        <v>502</v>
      </c>
      <c r="AD43" s="282"/>
      <c r="AE43" s="283"/>
      <c r="AF43" s="225"/>
      <c r="AG43" s="225"/>
      <c r="AH43" s="170"/>
      <c r="AI43" s="175"/>
      <c r="AJ43" s="245"/>
    </row>
    <row r="44" spans="1:41" ht="15.75" x14ac:dyDescent="0.2">
      <c r="AC44" s="244"/>
      <c r="AD44" s="282"/>
      <c r="AE44" s="283"/>
      <c r="AF44" s="225"/>
      <c r="AG44" s="285"/>
      <c r="AH44" s="170"/>
      <c r="AI44" s="175"/>
      <c r="AJ44" s="245"/>
    </row>
    <row r="45" spans="1:41" ht="20.25" x14ac:dyDescent="0.3">
      <c r="AC45" s="281" t="s">
        <v>587</v>
      </c>
      <c r="AD45" s="282"/>
      <c r="AE45" s="283"/>
      <c r="AF45" s="225"/>
      <c r="AG45" s="225"/>
      <c r="AH45" s="170"/>
      <c r="AI45" s="175"/>
      <c r="AJ45" s="245"/>
    </row>
    <row r="46" spans="1:41" ht="15.75" x14ac:dyDescent="0.25">
      <c r="AC46" s="243"/>
      <c r="AD46" s="282"/>
      <c r="AE46" s="283"/>
      <c r="AF46" s="225"/>
      <c r="AG46" s="225"/>
      <c r="AH46" s="18"/>
      <c r="AI46" s="36"/>
      <c r="AJ46" s="228"/>
    </row>
    <row r="47" spans="1:41" ht="20.25" x14ac:dyDescent="0.3">
      <c r="AC47" s="281" t="s">
        <v>574</v>
      </c>
      <c r="AD47" s="282"/>
      <c r="AE47" s="283"/>
      <c r="AF47" s="225"/>
      <c r="AG47" s="225"/>
      <c r="AH47" s="18"/>
      <c r="AI47" s="36"/>
      <c r="AJ47" s="228"/>
    </row>
    <row r="48" spans="1:41" ht="15.75" x14ac:dyDescent="0.25">
      <c r="AC48" s="227"/>
      <c r="AD48" s="282"/>
      <c r="AE48" s="283"/>
      <c r="AF48" s="225"/>
      <c r="AG48" s="225"/>
      <c r="AH48" s="18"/>
      <c r="AI48" s="36"/>
      <c r="AJ48" s="228"/>
    </row>
    <row r="49" spans="29:36" ht="20.25" x14ac:dyDescent="0.3">
      <c r="AC49" s="281" t="s">
        <v>545</v>
      </c>
      <c r="AD49" s="226"/>
      <c r="AE49" s="247"/>
      <c r="AF49" s="226"/>
      <c r="AG49" s="2"/>
      <c r="AH49" s="42"/>
      <c r="AI49" s="35"/>
      <c r="AJ49" s="226"/>
    </row>
    <row r="50" spans="29:36" x14ac:dyDescent="0.2">
      <c r="AC50" s="227"/>
      <c r="AD50" s="227"/>
      <c r="AE50" s="227"/>
      <c r="AF50" s="227"/>
      <c r="AG50" s="227"/>
      <c r="AH50" s="227"/>
      <c r="AI50" s="227"/>
      <c r="AJ50" s="227"/>
    </row>
  </sheetData>
  <sortState xmlns:xlrd2="http://schemas.microsoft.com/office/spreadsheetml/2017/richdata2" ref="B17:AN86">
    <sortCondition ref="B17"/>
  </sortState>
  <mergeCells count="34">
    <mergeCell ref="A7:A9"/>
    <mergeCell ref="D7:D9"/>
    <mergeCell ref="F7:F9"/>
    <mergeCell ref="J7:J9"/>
    <mergeCell ref="U8:V8"/>
    <mergeCell ref="K7:K9"/>
    <mergeCell ref="AD7:AD9"/>
    <mergeCell ref="AE7:AE9"/>
    <mergeCell ref="AH7:AH9"/>
    <mergeCell ref="AF7:AG8"/>
    <mergeCell ref="A6:S6"/>
    <mergeCell ref="B7:B9"/>
    <mergeCell ref="C7:C9"/>
    <mergeCell ref="E7:E9"/>
    <mergeCell ref="AC7:AC9"/>
    <mergeCell ref="U7:X7"/>
    <mergeCell ref="W8:X8"/>
    <mergeCell ref="Y7:AB8"/>
    <mergeCell ref="L7:Q8"/>
    <mergeCell ref="G7:G9"/>
    <mergeCell ref="H7:H9"/>
    <mergeCell ref="I7:I9"/>
    <mergeCell ref="A19:A20"/>
    <mergeCell ref="A29:A30"/>
    <mergeCell ref="AN7:AN9"/>
    <mergeCell ref="AM7:AM9"/>
    <mergeCell ref="R7:R9"/>
    <mergeCell ref="S7:S9"/>
    <mergeCell ref="T7:T9"/>
    <mergeCell ref="AI8:AI9"/>
    <mergeCell ref="AI7:AL7"/>
    <mergeCell ref="AJ8:AJ9"/>
    <mergeCell ref="AK8:AK9"/>
    <mergeCell ref="AL8:AL9"/>
  </mergeCells>
  <printOptions headings="1"/>
  <pageMargins left="0.19685039370078741" right="0.23622047244094491" top="0" bottom="0" header="0" footer="0"/>
  <pageSetup paperSize="9" scale="50" fitToWidth="0" fitToHeight="0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AN26"/>
  <sheetViews>
    <sheetView topLeftCell="A13" zoomScale="70" zoomScaleNormal="70" workbookViewId="0">
      <selection activeCell="I31" sqref="I31"/>
    </sheetView>
  </sheetViews>
  <sheetFormatPr defaultColWidth="6.140625" defaultRowHeight="12.75" x14ac:dyDescent="0.2"/>
  <cols>
    <col min="1" max="1" width="6.140625" style="256" customWidth="1"/>
    <col min="2" max="2" width="18.5703125" style="256" customWidth="1"/>
    <col min="3" max="3" width="15" style="260" customWidth="1"/>
    <col min="4" max="4" width="12.5703125" style="257" customWidth="1"/>
    <col min="5" max="5" width="6.140625" style="256" customWidth="1"/>
    <col min="6" max="6" width="9.5703125" style="256" customWidth="1"/>
    <col min="7" max="7" width="8.85546875" style="256" customWidth="1"/>
    <col min="8" max="8" width="7" style="259" customWidth="1"/>
    <col min="9" max="9" width="10.7109375" style="258" customWidth="1"/>
    <col min="10" max="10" width="8.42578125" style="256" customWidth="1"/>
    <col min="11" max="11" width="11.42578125" style="258" customWidth="1"/>
    <col min="12" max="12" width="8.85546875" style="258" hidden="1" customWidth="1"/>
    <col min="13" max="13" width="10.5703125" style="258" customWidth="1"/>
    <col min="14" max="14" width="10.28515625" style="258" customWidth="1"/>
    <col min="15" max="15" width="6.140625" style="258" hidden="1" customWidth="1"/>
    <col min="16" max="16" width="10.5703125" style="258" customWidth="1"/>
    <col min="17" max="17" width="5.42578125" style="258" customWidth="1"/>
    <col min="18" max="18" width="5.28515625" style="258" customWidth="1"/>
    <col min="19" max="19" width="10.28515625" style="258" customWidth="1"/>
    <col min="20" max="20" width="6.28515625" style="258" customWidth="1"/>
    <col min="21" max="21" width="9.5703125" style="258" customWidth="1"/>
    <col min="22" max="22" width="10" style="258" customWidth="1"/>
    <col min="23" max="23" width="4.5703125" style="258" customWidth="1"/>
    <col min="24" max="24" width="5.28515625" style="258" customWidth="1"/>
    <col min="25" max="25" width="12.42578125" style="258" customWidth="1"/>
    <col min="26" max="26" width="9.42578125" style="258" customWidth="1"/>
    <col min="27" max="27" width="14" style="258" customWidth="1"/>
    <col min="28" max="28" width="6.140625" style="256"/>
    <col min="29" max="29" width="7.28515625" style="256" bestFit="1" customWidth="1"/>
    <col min="30" max="16384" width="6.140625" style="256"/>
  </cols>
  <sheetData>
    <row r="4" spans="1:40" ht="14.25" customHeight="1" x14ac:dyDescent="0.25">
      <c r="A4" s="224" t="s">
        <v>499</v>
      </c>
      <c r="B4" s="221"/>
      <c r="C4" s="221"/>
      <c r="D4" s="221"/>
      <c r="E4" s="230"/>
      <c r="F4" s="230"/>
      <c r="G4" s="221"/>
      <c r="H4" s="246"/>
      <c r="I4" s="221"/>
      <c r="J4" s="221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24" t="s">
        <v>489</v>
      </c>
      <c r="W4" s="221"/>
      <c r="X4" s="221"/>
      <c r="Y4" s="221"/>
      <c r="Z4" s="230"/>
      <c r="AA4" s="230"/>
    </row>
    <row r="5" spans="1:40" ht="21" customHeight="1" x14ac:dyDescent="0.25">
      <c r="A5" s="220" t="s">
        <v>490</v>
      </c>
      <c r="B5" s="221"/>
      <c r="C5" s="221"/>
      <c r="D5" s="221"/>
      <c r="E5" s="230"/>
      <c r="F5" s="230"/>
      <c r="G5" s="221"/>
      <c r="H5" s="246"/>
      <c r="I5" s="221"/>
      <c r="J5" s="221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20" t="s">
        <v>490</v>
      </c>
      <c r="W5" s="221"/>
      <c r="X5" s="221"/>
      <c r="Y5" s="221"/>
      <c r="Z5" s="230"/>
      <c r="AA5" s="230"/>
    </row>
    <row r="6" spans="1:40" ht="18" customHeight="1" x14ac:dyDescent="0.25">
      <c r="A6" s="224" t="s">
        <v>581</v>
      </c>
      <c r="B6" s="221"/>
      <c r="C6" s="221"/>
      <c r="D6" s="221"/>
      <c r="E6" s="230"/>
      <c r="F6" s="230"/>
      <c r="G6" s="221"/>
      <c r="H6" s="246"/>
      <c r="I6" s="221"/>
      <c r="J6" s="221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24" t="s">
        <v>581</v>
      </c>
      <c r="W6" s="221"/>
      <c r="X6" s="221"/>
      <c r="Y6" s="221"/>
      <c r="Z6" s="230"/>
      <c r="AA6" s="230"/>
    </row>
    <row r="7" spans="1:40" ht="18" customHeight="1" x14ac:dyDescent="0.25">
      <c r="A7" s="224" t="s">
        <v>596</v>
      </c>
      <c r="B7" s="221"/>
      <c r="C7" s="221"/>
      <c r="D7" s="221"/>
      <c r="E7" s="230"/>
      <c r="F7" s="230"/>
      <c r="G7" s="221"/>
      <c r="H7" s="246"/>
      <c r="I7" s="221"/>
      <c r="J7" s="221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24" t="s">
        <v>582</v>
      </c>
      <c r="W7" s="221"/>
      <c r="X7" s="221"/>
      <c r="Y7" s="221"/>
      <c r="Z7" s="230"/>
      <c r="AA7" s="230"/>
    </row>
    <row r="8" spans="1:40" ht="35.25" customHeight="1" x14ac:dyDescent="0.25">
      <c r="A8" s="224" t="s">
        <v>573</v>
      </c>
      <c r="B8" s="221"/>
      <c r="C8" s="221"/>
      <c r="D8" s="221"/>
      <c r="E8" s="230"/>
      <c r="F8" s="230"/>
      <c r="G8" s="221"/>
      <c r="H8" s="246"/>
      <c r="I8" s="221"/>
      <c r="J8" s="221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24" t="s">
        <v>544</v>
      </c>
      <c r="W8" s="221"/>
      <c r="X8" s="221"/>
      <c r="Y8" s="221"/>
      <c r="Z8" s="230"/>
      <c r="AA8" s="230"/>
    </row>
    <row r="9" spans="1:40" ht="12.75" customHeight="1" x14ac:dyDescent="0.25">
      <c r="A9" s="221"/>
      <c r="B9" s="148"/>
      <c r="C9" s="221"/>
      <c r="D9" s="270"/>
      <c r="E9" s="231"/>
      <c r="F9" s="230"/>
      <c r="G9" s="221"/>
      <c r="H9" s="246"/>
      <c r="I9" s="221"/>
      <c r="J9" s="221"/>
      <c r="K9" s="230"/>
      <c r="L9" s="230"/>
      <c r="M9" s="230"/>
      <c r="N9" s="230"/>
      <c r="O9" s="230"/>
      <c r="P9" s="230"/>
      <c r="Q9" s="230"/>
      <c r="R9" s="230"/>
      <c r="S9" s="230"/>
      <c r="T9" s="230"/>
      <c r="U9" s="230"/>
      <c r="V9" s="224"/>
      <c r="W9" s="221"/>
      <c r="X9" s="221"/>
      <c r="Y9" s="221"/>
      <c r="Z9" s="230"/>
      <c r="AA9" s="230"/>
    </row>
    <row r="10" spans="1:40" ht="14.25" hidden="1" customHeight="1" x14ac:dyDescent="0.25">
      <c r="A10" s="221"/>
      <c r="B10" s="148"/>
      <c r="C10" s="221"/>
      <c r="D10" s="270"/>
      <c r="E10" s="231"/>
      <c r="F10" s="230"/>
      <c r="G10" s="221"/>
      <c r="H10" s="246"/>
      <c r="I10" s="221"/>
      <c r="J10" s="221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81"/>
      <c r="W10" s="230"/>
      <c r="X10" s="230"/>
      <c r="Y10" s="230"/>
      <c r="Z10" s="230"/>
      <c r="AA10" s="230"/>
    </row>
    <row r="11" spans="1:40" ht="7.5" customHeight="1" x14ac:dyDescent="0.25">
      <c r="A11" s="221"/>
      <c r="B11" s="148"/>
      <c r="C11" s="221"/>
      <c r="D11" s="270"/>
      <c r="E11" s="231"/>
      <c r="F11" s="230"/>
      <c r="G11" s="221"/>
      <c r="H11" s="246"/>
      <c r="I11" s="221"/>
      <c r="J11" s="221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81"/>
      <c r="W11" s="230"/>
      <c r="X11" s="230"/>
      <c r="Y11" s="230"/>
      <c r="Z11" s="230"/>
      <c r="AA11" s="230"/>
    </row>
    <row r="12" spans="1:40" ht="39.6" customHeight="1" x14ac:dyDescent="0.2">
      <c r="A12" s="361" t="s">
        <v>607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  <c r="Z12" s="361"/>
      <c r="AA12" s="361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</row>
    <row r="13" spans="1:40" ht="12" customHeight="1" x14ac:dyDescent="0.25">
      <c r="A13" s="221"/>
      <c r="B13" s="221"/>
      <c r="C13" s="148"/>
      <c r="D13" s="270"/>
      <c r="E13" s="221"/>
      <c r="F13" s="221"/>
      <c r="G13" s="221"/>
      <c r="H13" s="246"/>
      <c r="I13" s="230"/>
      <c r="J13" s="221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0"/>
      <c r="AA13" s="230"/>
    </row>
    <row r="14" spans="1:40" s="152" customFormat="1" ht="28.5" customHeight="1" x14ac:dyDescent="0.2">
      <c r="A14" s="362" t="s">
        <v>22</v>
      </c>
      <c r="B14" s="362" t="s">
        <v>0</v>
      </c>
      <c r="C14" s="362" t="s">
        <v>1</v>
      </c>
      <c r="D14" s="362" t="s">
        <v>59</v>
      </c>
      <c r="E14" s="362" t="s">
        <v>2</v>
      </c>
      <c r="F14" s="362" t="s">
        <v>35</v>
      </c>
      <c r="G14" s="362" t="s">
        <v>36</v>
      </c>
      <c r="H14" s="364" t="s">
        <v>3</v>
      </c>
      <c r="I14" s="357" t="s">
        <v>53</v>
      </c>
      <c r="J14" s="362" t="s">
        <v>51</v>
      </c>
      <c r="K14" s="357" t="s">
        <v>4</v>
      </c>
      <c r="L14" s="357" t="s">
        <v>52</v>
      </c>
      <c r="M14" s="357" t="s">
        <v>42</v>
      </c>
      <c r="N14" s="359" t="s">
        <v>44</v>
      </c>
      <c r="O14" s="360"/>
      <c r="P14" s="360"/>
      <c r="Q14" s="360"/>
      <c r="R14" s="360"/>
      <c r="S14" s="360"/>
      <c r="T14" s="360"/>
      <c r="U14" s="366" t="s">
        <v>44</v>
      </c>
      <c r="V14" s="366"/>
      <c r="W14" s="366"/>
      <c r="X14" s="366"/>
      <c r="Y14" s="366"/>
      <c r="Z14" s="357" t="s">
        <v>66</v>
      </c>
      <c r="AA14" s="357" t="s">
        <v>67</v>
      </c>
    </row>
    <row r="15" spans="1:40" s="152" customFormat="1" ht="156" customHeight="1" x14ac:dyDescent="0.2">
      <c r="A15" s="363"/>
      <c r="B15" s="363"/>
      <c r="C15" s="363"/>
      <c r="D15" s="363"/>
      <c r="E15" s="363"/>
      <c r="F15" s="363"/>
      <c r="G15" s="363"/>
      <c r="H15" s="365"/>
      <c r="I15" s="358"/>
      <c r="J15" s="363"/>
      <c r="K15" s="358"/>
      <c r="L15" s="358"/>
      <c r="M15" s="358"/>
      <c r="N15" s="272">
        <v>0.1</v>
      </c>
      <c r="O15" s="272" t="s">
        <v>73</v>
      </c>
      <c r="P15" s="273" t="s">
        <v>48</v>
      </c>
      <c r="Q15" s="273" t="s">
        <v>494</v>
      </c>
      <c r="R15" s="273" t="s">
        <v>55</v>
      </c>
      <c r="S15" s="273" t="s">
        <v>54</v>
      </c>
      <c r="T15" s="273" t="s">
        <v>50</v>
      </c>
      <c r="U15" s="274" t="s">
        <v>45</v>
      </c>
      <c r="V15" s="274" t="s">
        <v>46</v>
      </c>
      <c r="W15" s="274" t="s">
        <v>49</v>
      </c>
      <c r="X15" s="274" t="s">
        <v>47</v>
      </c>
      <c r="Y15" s="274" t="s">
        <v>497</v>
      </c>
      <c r="Z15" s="358"/>
      <c r="AA15" s="358"/>
    </row>
    <row r="16" spans="1:40" s="147" customFormat="1" ht="25.5" customHeight="1" x14ac:dyDescent="0.2">
      <c r="A16" s="271">
        <v>1</v>
      </c>
      <c r="B16" s="271">
        <v>2</v>
      </c>
      <c r="C16" s="271">
        <v>3</v>
      </c>
      <c r="D16" s="271">
        <v>4</v>
      </c>
      <c r="E16" s="271">
        <v>5</v>
      </c>
      <c r="F16" s="271">
        <v>6</v>
      </c>
      <c r="G16" s="271">
        <v>7</v>
      </c>
      <c r="H16" s="271">
        <v>8</v>
      </c>
      <c r="I16" s="271">
        <v>9</v>
      </c>
      <c r="J16" s="271">
        <v>10</v>
      </c>
      <c r="K16" s="271">
        <v>11</v>
      </c>
      <c r="L16" s="271">
        <v>12</v>
      </c>
      <c r="M16" s="271">
        <v>13</v>
      </c>
      <c r="N16" s="271">
        <v>14</v>
      </c>
      <c r="O16" s="271">
        <v>15</v>
      </c>
      <c r="P16" s="271">
        <v>16</v>
      </c>
      <c r="Q16" s="271">
        <v>17</v>
      </c>
      <c r="R16" s="271">
        <v>18</v>
      </c>
      <c r="S16" s="271">
        <v>19</v>
      </c>
      <c r="T16" s="271">
        <v>20</v>
      </c>
      <c r="U16" s="271">
        <v>21</v>
      </c>
      <c r="V16" s="271">
        <v>22</v>
      </c>
      <c r="W16" s="271">
        <v>23</v>
      </c>
      <c r="X16" s="271">
        <v>24</v>
      </c>
      <c r="Y16" s="271">
        <v>25</v>
      </c>
      <c r="Z16" s="271">
        <v>26</v>
      </c>
      <c r="AA16" s="271">
        <v>27</v>
      </c>
    </row>
    <row r="17" spans="1:27" s="151" customFormat="1" ht="15.75" x14ac:dyDescent="0.2">
      <c r="A17" s="275"/>
      <c r="B17" s="275"/>
      <c r="C17" s="275"/>
      <c r="D17" s="276"/>
      <c r="E17" s="275">
        <v>1.5</v>
      </c>
      <c r="F17" s="275"/>
      <c r="G17" s="275"/>
      <c r="H17" s="275"/>
      <c r="I17" s="275"/>
      <c r="J17" s="275">
        <f t="shared" ref="J17:AA17" si="0">SUM(J18:J19)</f>
        <v>4</v>
      </c>
      <c r="K17" s="275">
        <f t="shared" si="0"/>
        <v>233069.52000000002</v>
      </c>
      <c r="L17" s="275">
        <f t="shared" si="0"/>
        <v>0</v>
      </c>
      <c r="M17" s="275">
        <f t="shared" si="0"/>
        <v>58267.380000000005</v>
      </c>
      <c r="N17" s="275">
        <f t="shared" si="0"/>
        <v>26197.375</v>
      </c>
      <c r="O17" s="275">
        <f t="shared" si="0"/>
        <v>0</v>
      </c>
      <c r="P17" s="275">
        <f t="shared" si="0"/>
        <v>0</v>
      </c>
      <c r="Q17" s="275">
        <f t="shared" si="0"/>
        <v>0</v>
      </c>
      <c r="R17" s="275">
        <f t="shared" si="0"/>
        <v>0</v>
      </c>
      <c r="S17" s="275">
        <f t="shared" si="0"/>
        <v>0</v>
      </c>
      <c r="T17" s="275">
        <f t="shared" si="0"/>
        <v>0</v>
      </c>
      <c r="U17" s="275">
        <f t="shared" si="0"/>
        <v>0</v>
      </c>
      <c r="V17" s="275">
        <f t="shared" si="0"/>
        <v>0</v>
      </c>
      <c r="W17" s="275">
        <f t="shared" si="0"/>
        <v>0</v>
      </c>
      <c r="X17" s="275">
        <f t="shared" si="0"/>
        <v>0</v>
      </c>
      <c r="Y17" s="275">
        <f t="shared" si="0"/>
        <v>0</v>
      </c>
      <c r="Z17" s="275">
        <f t="shared" si="0"/>
        <v>317534.27500000002</v>
      </c>
      <c r="AA17" s="275">
        <f t="shared" si="0"/>
        <v>3810411.3</v>
      </c>
    </row>
    <row r="18" spans="1:27" s="147" customFormat="1" ht="15.75" x14ac:dyDescent="0.2">
      <c r="A18" s="271">
        <v>1</v>
      </c>
      <c r="B18" s="58" t="s">
        <v>570</v>
      </c>
      <c r="C18" s="289" t="s">
        <v>568</v>
      </c>
      <c r="D18" s="287" t="s">
        <v>483</v>
      </c>
      <c r="E18" s="77">
        <v>1</v>
      </c>
      <c r="F18" s="140" t="s">
        <v>13</v>
      </c>
      <c r="G18" s="140">
        <v>8</v>
      </c>
      <c r="H18" s="290">
        <v>3.85</v>
      </c>
      <c r="I18" s="277">
        <v>17697</v>
      </c>
      <c r="J18" s="271">
        <v>2</v>
      </c>
      <c r="K18" s="278">
        <v>177147</v>
      </c>
      <c r="L18" s="271"/>
      <c r="M18" s="278">
        <f>K18*25%</f>
        <v>44286.75</v>
      </c>
      <c r="N18" s="278">
        <f>(K18+M18)*10%</f>
        <v>22143.375</v>
      </c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8"/>
      <c r="Z18" s="278">
        <f>SUM(K18:Y18)</f>
        <v>243577.125</v>
      </c>
      <c r="AA18" s="278">
        <f>Z18*12</f>
        <v>2922925.5</v>
      </c>
    </row>
    <row r="19" spans="1:27" s="147" customFormat="1" ht="15.75" x14ac:dyDescent="0.2">
      <c r="A19" s="271">
        <v>2</v>
      </c>
      <c r="B19" s="58" t="s">
        <v>529</v>
      </c>
      <c r="C19" s="289" t="s">
        <v>569</v>
      </c>
      <c r="D19" s="77" t="s">
        <v>571</v>
      </c>
      <c r="E19" s="77">
        <v>0.5</v>
      </c>
      <c r="F19" s="140" t="s">
        <v>572</v>
      </c>
      <c r="G19" s="288">
        <v>12.1</v>
      </c>
      <c r="H19" s="103">
        <v>3.16</v>
      </c>
      <c r="I19" s="277">
        <v>17697</v>
      </c>
      <c r="J19" s="271">
        <v>2</v>
      </c>
      <c r="K19" s="278">
        <f t="shared" ref="K19" si="1">E19*H19*I19*J19</f>
        <v>55922.520000000004</v>
      </c>
      <c r="L19" s="271"/>
      <c r="M19" s="278">
        <f t="shared" ref="M19" si="2">K19*25%</f>
        <v>13980.630000000001</v>
      </c>
      <c r="N19" s="278">
        <v>4054</v>
      </c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8"/>
      <c r="Z19" s="278">
        <f>SUM(K19:Y19)</f>
        <v>73957.150000000009</v>
      </c>
      <c r="AA19" s="278">
        <f>Z19*12</f>
        <v>887485.8</v>
      </c>
    </row>
    <row r="20" spans="1:27" s="101" customFormat="1" ht="15.75" x14ac:dyDescent="0.2">
      <c r="A20" s="280"/>
      <c r="B20" s="279"/>
    </row>
    <row r="21" spans="1:27" x14ac:dyDescent="0.2">
      <c r="B21" s="225" t="s">
        <v>501</v>
      </c>
      <c r="C21" s="282"/>
      <c r="D21" s="283"/>
      <c r="E21" s="225"/>
      <c r="F21" s="225"/>
      <c r="G21" s="225"/>
      <c r="H21" s="284"/>
      <c r="I21" s="229"/>
    </row>
    <row r="22" spans="1:27" x14ac:dyDescent="0.2">
      <c r="B22" s="225" t="s">
        <v>588</v>
      </c>
      <c r="C22" s="282"/>
      <c r="D22" s="283"/>
      <c r="E22" s="225"/>
      <c r="F22" s="285"/>
      <c r="G22" s="285"/>
      <c r="H22" s="284"/>
      <c r="I22" s="229"/>
    </row>
    <row r="23" spans="1:27" x14ac:dyDescent="0.2">
      <c r="B23" s="225"/>
      <c r="C23" s="282"/>
      <c r="D23" s="283"/>
      <c r="E23" s="225"/>
      <c r="F23" s="225"/>
      <c r="G23" s="225"/>
      <c r="H23" s="284"/>
      <c r="I23" s="229"/>
    </row>
    <row r="24" spans="1:27" x14ac:dyDescent="0.2">
      <c r="B24" s="225" t="s">
        <v>575</v>
      </c>
      <c r="C24" s="282"/>
      <c r="D24" s="283"/>
      <c r="E24" s="225"/>
      <c r="F24" s="225"/>
      <c r="G24" s="225"/>
      <c r="H24" s="284"/>
      <c r="I24" s="229"/>
    </row>
    <row r="25" spans="1:27" x14ac:dyDescent="0.2">
      <c r="B25" s="225"/>
      <c r="C25" s="282"/>
      <c r="D25" s="283"/>
      <c r="E25" s="225"/>
      <c r="F25" s="225"/>
      <c r="G25" s="225"/>
      <c r="H25" s="284"/>
      <c r="I25" s="229"/>
    </row>
    <row r="26" spans="1:27" x14ac:dyDescent="0.2">
      <c r="B26" s="225" t="s">
        <v>543</v>
      </c>
      <c r="C26" s="282"/>
      <c r="D26" s="283"/>
      <c r="E26" s="225"/>
      <c r="F26" s="225"/>
      <c r="G26" s="225"/>
      <c r="H26" s="284"/>
      <c r="I26" s="229"/>
    </row>
  </sheetData>
  <mergeCells count="18">
    <mergeCell ref="A12:AA12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Z14:Z15"/>
    <mergeCell ref="AA14:AA15"/>
    <mergeCell ref="J14:J15"/>
    <mergeCell ref="K14:K15"/>
    <mergeCell ref="L14:L15"/>
    <mergeCell ref="M14:M15"/>
    <mergeCell ref="N14:T14"/>
    <mergeCell ref="U14:Y14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4"/>
  <sheetViews>
    <sheetView zoomScale="50" zoomScaleNormal="50" workbookViewId="0">
      <selection activeCell="A3" sqref="A3:AN54"/>
    </sheetView>
  </sheetViews>
  <sheetFormatPr defaultColWidth="16.42578125" defaultRowHeight="15" x14ac:dyDescent="0.2"/>
  <cols>
    <col min="1" max="1" width="7.28515625" style="248" customWidth="1"/>
    <col min="2" max="2" width="40.85546875" style="248" customWidth="1"/>
    <col min="3" max="3" width="16.42578125" style="248" customWidth="1"/>
    <col min="4" max="4" width="10" style="248" customWidth="1"/>
    <col min="5" max="5" width="12.5703125" style="249" customWidth="1"/>
    <col min="6" max="6" width="9.140625" style="250" customWidth="1"/>
    <col min="7" max="7" width="8.42578125" style="251" customWidth="1"/>
    <col min="8" max="8" width="11.28515625" style="252" customWidth="1"/>
    <col min="9" max="9" width="11" style="253" customWidth="1"/>
    <col min="10" max="10" width="11.7109375" style="252" customWidth="1"/>
    <col min="11" max="11" width="10" style="248" customWidth="1"/>
    <col min="12" max="12" width="9.7109375" style="248" customWidth="1"/>
    <col min="13" max="13" width="15.85546875" style="252" customWidth="1"/>
    <col min="14" max="14" width="8.140625" style="248" customWidth="1"/>
    <col min="15" max="15" width="15.85546875" style="252" customWidth="1"/>
    <col min="16" max="16" width="9.140625" style="248" customWidth="1"/>
    <col min="17" max="17" width="15.140625" style="252" customWidth="1"/>
    <col min="18" max="18" width="16.42578125" style="248" customWidth="1"/>
    <col min="19" max="19" width="21.140625" style="252" customWidth="1"/>
    <col min="20" max="20" width="16.42578125" style="254" customWidth="1"/>
    <col min="21" max="21" width="7" style="248" customWidth="1"/>
    <col min="22" max="22" width="11.140625" style="252" customWidth="1"/>
    <col min="23" max="23" width="7.28515625" style="255" customWidth="1"/>
    <col min="24" max="24" width="10.7109375" style="252" customWidth="1"/>
    <col min="25" max="25" width="8" customWidth="1"/>
    <col min="26" max="26" width="10.42578125" style="41" customWidth="1"/>
    <col min="27" max="27" width="8.7109375" style="34" customWidth="1"/>
    <col min="28" max="28" width="12.5703125" style="252" customWidth="1"/>
    <col min="29" max="29" width="13.28515625" style="252" customWidth="1"/>
    <col min="30" max="30" width="11" style="252" customWidth="1"/>
    <col min="31" max="31" width="16.42578125" style="248" customWidth="1"/>
    <col min="32" max="32" width="9.140625" style="248" customWidth="1"/>
    <col min="33" max="33" width="12.5703125" style="248" customWidth="1"/>
    <col min="34" max="37" width="16.42578125" style="248" customWidth="1"/>
    <col min="38" max="38" width="8.85546875" style="248" customWidth="1"/>
    <col min="39" max="40" width="16.42578125" style="252" customWidth="1"/>
    <col min="41" max="16384" width="16.42578125" style="248"/>
  </cols>
  <sheetData>
    <row r="1" spans="1:41" s="227" customFormat="1" ht="3.75" customHeight="1" x14ac:dyDescent="0.25">
      <c r="A1" s="232"/>
      <c r="B1" s="220"/>
      <c r="C1" s="232"/>
      <c r="D1" s="264"/>
      <c r="E1" s="264"/>
      <c r="F1" s="264"/>
      <c r="G1" s="286"/>
      <c r="H1" s="223"/>
      <c r="I1" s="222"/>
      <c r="J1" s="264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  <c r="W1" s="221"/>
      <c r="X1" s="221"/>
      <c r="Y1" s="5"/>
      <c r="Z1" s="5"/>
      <c r="AA1" s="5"/>
      <c r="AB1" s="221"/>
      <c r="AC1" s="221"/>
      <c r="AD1" s="221"/>
      <c r="AE1" s="221"/>
      <c r="AF1" s="231"/>
      <c r="AG1" s="231"/>
      <c r="AH1" s="231"/>
      <c r="AI1" s="231"/>
      <c r="AJ1" s="231"/>
      <c r="AK1" s="231"/>
      <c r="AL1" s="231"/>
      <c r="AM1" s="230"/>
      <c r="AN1" s="230"/>
    </row>
    <row r="2" spans="1:41" s="227" customFormat="1" ht="3.75" customHeight="1" x14ac:dyDescent="0.25">
      <c r="A2" s="232"/>
      <c r="B2" s="220"/>
      <c r="C2" s="232"/>
      <c r="D2" s="264"/>
      <c r="E2" s="264"/>
      <c r="F2" s="264"/>
      <c r="G2" s="286"/>
      <c r="H2" s="223"/>
      <c r="I2" s="222"/>
      <c r="J2" s="264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1"/>
      <c r="V2" s="221"/>
      <c r="W2" s="221"/>
      <c r="X2" s="221"/>
      <c r="Y2" s="5"/>
      <c r="Z2" s="5"/>
      <c r="AA2" s="5"/>
      <c r="AB2" s="221"/>
      <c r="AC2" s="221"/>
      <c r="AD2" s="221"/>
      <c r="AE2" s="221"/>
      <c r="AF2" s="231"/>
      <c r="AG2" s="231"/>
      <c r="AH2" s="231"/>
      <c r="AI2" s="231"/>
      <c r="AJ2" s="231"/>
      <c r="AK2" s="231"/>
      <c r="AL2" s="231"/>
      <c r="AM2" s="230"/>
      <c r="AN2" s="230"/>
    </row>
    <row r="3" spans="1:41" s="227" customFormat="1" ht="17.25" customHeight="1" x14ac:dyDescent="0.25">
      <c r="A3" s="224" t="s">
        <v>499</v>
      </c>
      <c r="B3" s="221"/>
      <c r="C3" s="221"/>
      <c r="D3" s="221"/>
      <c r="E3" s="230"/>
      <c r="F3" s="230"/>
      <c r="G3" s="221"/>
      <c r="H3" s="246"/>
      <c r="I3" s="221"/>
      <c r="J3" s="221"/>
      <c r="K3" s="230"/>
      <c r="L3" s="230"/>
      <c r="M3" s="230"/>
      <c r="N3" s="230"/>
      <c r="O3" s="230"/>
      <c r="P3" s="224" t="s">
        <v>489</v>
      </c>
      <c r="Q3" s="221"/>
      <c r="R3" s="221"/>
      <c r="S3" s="221"/>
      <c r="T3" s="230"/>
      <c r="AA3" s="5"/>
      <c r="AB3" s="221"/>
      <c r="AC3" s="221"/>
      <c r="AD3" s="221"/>
      <c r="AE3" s="221"/>
      <c r="AF3" s="231"/>
      <c r="AG3" s="231"/>
      <c r="AH3" s="231"/>
      <c r="AI3" s="231"/>
      <c r="AJ3" s="231"/>
      <c r="AK3" s="231"/>
      <c r="AL3" s="231"/>
      <c r="AM3" s="230"/>
      <c r="AN3" s="230"/>
    </row>
    <row r="4" spans="1:41" s="227" customFormat="1" ht="17.25" customHeight="1" x14ac:dyDescent="0.25">
      <c r="A4" s="220" t="s">
        <v>490</v>
      </c>
      <c r="B4" s="221"/>
      <c r="C4" s="221"/>
      <c r="D4" s="221"/>
      <c r="E4" s="230"/>
      <c r="F4" s="230"/>
      <c r="G4" s="221"/>
      <c r="H4" s="246"/>
      <c r="I4" s="221"/>
      <c r="J4" s="221"/>
      <c r="K4" s="230"/>
      <c r="L4" s="230"/>
      <c r="M4" s="230"/>
      <c r="N4" s="230"/>
      <c r="O4" s="230"/>
      <c r="P4" s="220" t="s">
        <v>490</v>
      </c>
      <c r="Q4" s="221"/>
      <c r="R4" s="221"/>
      <c r="S4" s="221"/>
      <c r="T4" s="230"/>
      <c r="AA4" s="5"/>
      <c r="AB4" s="221"/>
      <c r="AC4" s="221"/>
      <c r="AD4" s="221"/>
      <c r="AE4" s="221"/>
      <c r="AF4" s="231"/>
      <c r="AG4" s="231"/>
      <c r="AH4" s="231"/>
      <c r="AI4" s="231"/>
      <c r="AJ4" s="231"/>
      <c r="AK4" s="231"/>
      <c r="AL4" s="231"/>
      <c r="AM4" s="230"/>
      <c r="AN4" s="230"/>
    </row>
    <row r="5" spans="1:41" s="227" customFormat="1" ht="17.25" customHeight="1" x14ac:dyDescent="0.25">
      <c r="A5" s="224" t="s">
        <v>581</v>
      </c>
      <c r="B5" s="221"/>
      <c r="C5" s="221"/>
      <c r="D5" s="221"/>
      <c r="E5" s="230"/>
      <c r="F5" s="230"/>
      <c r="G5" s="221"/>
      <c r="H5" s="246"/>
      <c r="I5" s="221"/>
      <c r="J5" s="221"/>
      <c r="K5" s="230"/>
      <c r="L5" s="230"/>
      <c r="M5" s="230"/>
      <c r="N5" s="230"/>
      <c r="O5" s="230"/>
      <c r="P5" s="224" t="s">
        <v>581</v>
      </c>
      <c r="Q5" s="221"/>
      <c r="R5" s="221"/>
      <c r="S5" s="221"/>
      <c r="T5" s="230"/>
      <c r="AA5" s="5"/>
      <c r="AB5" s="221"/>
      <c r="AC5" s="221"/>
      <c r="AD5" s="221"/>
      <c r="AE5" s="221"/>
      <c r="AF5" s="231"/>
      <c r="AG5" s="231"/>
      <c r="AH5" s="231"/>
      <c r="AI5" s="231"/>
      <c r="AJ5" s="231"/>
      <c r="AK5" s="231"/>
      <c r="AL5" s="231"/>
      <c r="AM5" s="230"/>
      <c r="AN5" s="230"/>
    </row>
    <row r="6" spans="1:41" s="227" customFormat="1" ht="17.25" customHeight="1" x14ac:dyDescent="0.25">
      <c r="A6" s="224" t="s">
        <v>596</v>
      </c>
      <c r="B6" s="221"/>
      <c r="C6" s="221"/>
      <c r="D6" s="221"/>
      <c r="E6" s="230"/>
      <c r="F6" s="230"/>
      <c r="G6" s="221"/>
      <c r="H6" s="246"/>
      <c r="I6" s="221"/>
      <c r="J6" s="221"/>
      <c r="K6" s="230"/>
      <c r="L6" s="230"/>
      <c r="M6" s="230"/>
      <c r="N6" s="230"/>
      <c r="O6" s="230"/>
      <c r="P6" s="224" t="s">
        <v>582</v>
      </c>
      <c r="Q6" s="221"/>
      <c r="R6" s="221"/>
      <c r="S6" s="221"/>
      <c r="T6" s="230"/>
      <c r="AA6" s="5"/>
      <c r="AB6" s="221"/>
      <c r="AC6" s="221"/>
      <c r="AD6" s="221"/>
      <c r="AE6" s="221"/>
      <c r="AF6" s="231"/>
      <c r="AG6" s="231"/>
      <c r="AH6" s="231"/>
      <c r="AI6" s="231"/>
      <c r="AJ6" s="231"/>
      <c r="AK6" s="231"/>
      <c r="AL6" s="231"/>
      <c r="AM6" s="230"/>
      <c r="AN6" s="230"/>
    </row>
    <row r="7" spans="1:41" s="227" customFormat="1" ht="17.25" customHeight="1" x14ac:dyDescent="0.25">
      <c r="A7" s="224" t="s">
        <v>573</v>
      </c>
      <c r="B7" s="221"/>
      <c r="C7" s="221"/>
      <c r="D7" s="221"/>
      <c r="E7" s="230"/>
      <c r="F7" s="230"/>
      <c r="G7" s="221"/>
      <c r="H7" s="246"/>
      <c r="I7" s="221"/>
      <c r="J7" s="221"/>
      <c r="K7" s="230"/>
      <c r="L7" s="230"/>
      <c r="M7" s="230"/>
      <c r="N7" s="230"/>
      <c r="O7" s="230"/>
      <c r="P7" s="224" t="s">
        <v>544</v>
      </c>
      <c r="Q7" s="221"/>
      <c r="R7" s="221"/>
      <c r="S7" s="221"/>
      <c r="T7" s="230"/>
      <c r="AA7" s="5"/>
      <c r="AB7" s="221"/>
      <c r="AC7" s="221"/>
      <c r="AD7" s="221"/>
      <c r="AE7" s="221"/>
      <c r="AF7" s="231"/>
      <c r="AG7" s="231"/>
      <c r="AH7" s="231"/>
      <c r="AI7" s="231"/>
      <c r="AJ7" s="231"/>
      <c r="AK7" s="231"/>
      <c r="AL7" s="231"/>
      <c r="AM7" s="230"/>
      <c r="AN7" s="230"/>
    </row>
    <row r="8" spans="1:41" s="227" customFormat="1" ht="3" customHeight="1" x14ac:dyDescent="0.25">
      <c r="A8" s="232"/>
      <c r="B8" s="220"/>
      <c r="C8" s="232"/>
      <c r="D8" s="264"/>
      <c r="E8" s="264"/>
      <c r="F8" s="264"/>
      <c r="G8" s="286"/>
      <c r="H8" s="223"/>
      <c r="I8" s="222"/>
      <c r="J8" s="264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1"/>
      <c r="V8" s="221"/>
      <c r="W8" s="221"/>
      <c r="X8" s="221"/>
      <c r="Y8" s="5"/>
      <c r="Z8" s="5"/>
      <c r="AA8" s="5"/>
      <c r="AB8" s="221"/>
      <c r="AC8" s="221"/>
      <c r="AD8" s="221"/>
      <c r="AE8" s="221"/>
      <c r="AF8" s="231"/>
      <c r="AG8" s="231"/>
      <c r="AH8" s="231"/>
      <c r="AI8" s="231"/>
      <c r="AJ8" s="231"/>
      <c r="AK8" s="231"/>
      <c r="AL8" s="231"/>
      <c r="AM8" s="230"/>
      <c r="AN8" s="230"/>
    </row>
    <row r="9" spans="1:41" s="227" customFormat="1" ht="32.25" customHeight="1" x14ac:dyDescent="0.2">
      <c r="A9" s="361" t="s">
        <v>599</v>
      </c>
      <c r="B9" s="361"/>
      <c r="C9" s="361"/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361"/>
      <c r="O9" s="361"/>
      <c r="P9" s="361"/>
      <c r="Q9" s="361"/>
      <c r="R9" s="361"/>
      <c r="S9" s="361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</row>
    <row r="10" spans="1:41" s="227" customFormat="1" ht="5.25" customHeight="1" x14ac:dyDescent="0.25">
      <c r="A10" s="233"/>
      <c r="B10" s="148"/>
      <c r="C10" s="148"/>
      <c r="D10" s="233"/>
      <c r="E10" s="233"/>
      <c r="F10" s="234"/>
      <c r="G10" s="235"/>
      <c r="H10" s="236"/>
      <c r="I10" s="233"/>
      <c r="J10" s="236"/>
      <c r="K10" s="233"/>
      <c r="L10" s="233"/>
      <c r="M10" s="236"/>
      <c r="N10" s="233"/>
      <c r="O10" s="237"/>
      <c r="P10" s="233"/>
      <c r="Q10" s="237"/>
      <c r="R10" s="233"/>
      <c r="S10" s="236"/>
      <c r="T10" s="233"/>
      <c r="U10" s="233"/>
      <c r="V10" s="236"/>
      <c r="W10" s="238"/>
      <c r="X10" s="236"/>
      <c r="Y10" s="29"/>
      <c r="Z10" s="265"/>
      <c r="AA10" s="266"/>
      <c r="AB10" s="236"/>
      <c r="AC10" s="236"/>
      <c r="AD10" s="236"/>
      <c r="AE10" s="233"/>
      <c r="AF10" s="397"/>
      <c r="AG10" s="397"/>
      <c r="AH10" s="397"/>
      <c r="AI10" s="397"/>
      <c r="AJ10" s="397"/>
      <c r="AK10" s="397"/>
      <c r="AL10" s="397"/>
      <c r="AM10" s="397"/>
      <c r="AN10" s="230"/>
    </row>
    <row r="11" spans="1:41" s="239" customFormat="1" ht="30.75" customHeight="1" x14ac:dyDescent="0.2">
      <c r="A11" s="377" t="s">
        <v>22</v>
      </c>
      <c r="B11" s="377" t="s">
        <v>23</v>
      </c>
      <c r="C11" s="377" t="s">
        <v>24</v>
      </c>
      <c r="D11" s="380" t="s">
        <v>25</v>
      </c>
      <c r="E11" s="380" t="s">
        <v>35</v>
      </c>
      <c r="F11" s="398" t="s">
        <v>26</v>
      </c>
      <c r="G11" s="380" t="s">
        <v>27</v>
      </c>
      <c r="H11" s="369" t="s">
        <v>58</v>
      </c>
      <c r="I11" s="394" t="s">
        <v>57</v>
      </c>
      <c r="J11" s="369" t="s">
        <v>53</v>
      </c>
      <c r="K11" s="380" t="s">
        <v>28</v>
      </c>
      <c r="L11" s="388" t="s">
        <v>29</v>
      </c>
      <c r="M11" s="389"/>
      <c r="N11" s="389"/>
      <c r="O11" s="389"/>
      <c r="P11" s="389"/>
      <c r="Q11" s="390"/>
      <c r="R11" s="370" t="s">
        <v>60</v>
      </c>
      <c r="S11" s="373" t="s">
        <v>42</v>
      </c>
      <c r="T11" s="376">
        <v>0.1</v>
      </c>
      <c r="U11" s="381" t="s">
        <v>466</v>
      </c>
      <c r="V11" s="382"/>
      <c r="W11" s="382"/>
      <c r="X11" s="383"/>
      <c r="Y11" s="384" t="s">
        <v>468</v>
      </c>
      <c r="Z11" s="384"/>
      <c r="AA11" s="384"/>
      <c r="AB11" s="385"/>
      <c r="AC11" s="378" t="s">
        <v>469</v>
      </c>
      <c r="AD11" s="378" t="s">
        <v>471</v>
      </c>
      <c r="AE11" s="399" t="s">
        <v>65</v>
      </c>
      <c r="AF11" s="401" t="s">
        <v>500</v>
      </c>
      <c r="AG11" s="385"/>
      <c r="AH11" s="379" t="s">
        <v>470</v>
      </c>
      <c r="AI11" s="379" t="s">
        <v>44</v>
      </c>
      <c r="AJ11" s="379"/>
      <c r="AK11" s="379"/>
      <c r="AL11" s="379"/>
      <c r="AM11" s="369" t="s">
        <v>66</v>
      </c>
      <c r="AN11" s="369" t="s">
        <v>67</v>
      </c>
    </row>
    <row r="12" spans="1:41" s="239" customFormat="1" ht="84.75" customHeight="1" x14ac:dyDescent="0.2">
      <c r="A12" s="377"/>
      <c r="B12" s="377"/>
      <c r="C12" s="377"/>
      <c r="D12" s="380"/>
      <c r="E12" s="380"/>
      <c r="F12" s="398"/>
      <c r="G12" s="380"/>
      <c r="H12" s="369"/>
      <c r="I12" s="395"/>
      <c r="J12" s="369"/>
      <c r="K12" s="380"/>
      <c r="L12" s="391"/>
      <c r="M12" s="392"/>
      <c r="N12" s="392"/>
      <c r="O12" s="392"/>
      <c r="P12" s="392"/>
      <c r="Q12" s="393"/>
      <c r="R12" s="371"/>
      <c r="S12" s="374"/>
      <c r="T12" s="376"/>
      <c r="U12" s="377" t="s">
        <v>464</v>
      </c>
      <c r="V12" s="377"/>
      <c r="W12" s="377" t="s">
        <v>467</v>
      </c>
      <c r="X12" s="377"/>
      <c r="Y12" s="386"/>
      <c r="Z12" s="386"/>
      <c r="AA12" s="386"/>
      <c r="AB12" s="387"/>
      <c r="AC12" s="378"/>
      <c r="AD12" s="378"/>
      <c r="AE12" s="399"/>
      <c r="AF12" s="402"/>
      <c r="AG12" s="403"/>
      <c r="AH12" s="379"/>
      <c r="AI12" s="378" t="s">
        <v>493</v>
      </c>
      <c r="AJ12" s="378" t="s">
        <v>46</v>
      </c>
      <c r="AK12" s="378" t="s">
        <v>49</v>
      </c>
      <c r="AL12" s="378" t="s">
        <v>47</v>
      </c>
      <c r="AM12" s="369"/>
      <c r="AN12" s="369"/>
    </row>
    <row r="13" spans="1:41" s="239" customFormat="1" ht="35.25" customHeight="1" x14ac:dyDescent="0.2">
      <c r="A13" s="377"/>
      <c r="B13" s="377"/>
      <c r="C13" s="377"/>
      <c r="D13" s="380"/>
      <c r="E13" s="380"/>
      <c r="F13" s="398"/>
      <c r="G13" s="380"/>
      <c r="H13" s="369"/>
      <c r="I13" s="396"/>
      <c r="J13" s="369"/>
      <c r="K13" s="380"/>
      <c r="L13" s="262" t="s">
        <v>465</v>
      </c>
      <c r="M13" s="261" t="s">
        <v>472</v>
      </c>
      <c r="N13" s="262" t="s">
        <v>491</v>
      </c>
      <c r="O13" s="261" t="s">
        <v>472</v>
      </c>
      <c r="P13" s="262" t="s">
        <v>492</v>
      </c>
      <c r="Q13" s="261" t="s">
        <v>472</v>
      </c>
      <c r="R13" s="372"/>
      <c r="S13" s="375"/>
      <c r="T13" s="377"/>
      <c r="U13" s="263">
        <v>0.5</v>
      </c>
      <c r="V13" s="240" t="s">
        <v>472</v>
      </c>
      <c r="W13" s="263">
        <v>0.6</v>
      </c>
      <c r="X13" s="240" t="s">
        <v>472</v>
      </c>
      <c r="Y13" s="267">
        <v>0.4</v>
      </c>
      <c r="Z13" s="268" t="s">
        <v>472</v>
      </c>
      <c r="AA13" s="267">
        <v>0.5</v>
      </c>
      <c r="AB13" s="240" t="s">
        <v>472</v>
      </c>
      <c r="AC13" s="378"/>
      <c r="AD13" s="378"/>
      <c r="AE13" s="400"/>
      <c r="AF13" s="262" t="s">
        <v>473</v>
      </c>
      <c r="AG13" s="240" t="s">
        <v>472</v>
      </c>
      <c r="AH13" s="379"/>
      <c r="AI13" s="378"/>
      <c r="AJ13" s="378"/>
      <c r="AK13" s="378"/>
      <c r="AL13" s="378"/>
      <c r="AM13" s="369"/>
      <c r="AN13" s="369"/>
    </row>
    <row r="14" spans="1:41" s="243" customFormat="1" ht="19.5" customHeight="1" x14ac:dyDescent="0.2">
      <c r="A14" s="216"/>
      <c r="B14" s="217"/>
      <c r="C14" s="217"/>
      <c r="D14" s="216"/>
      <c r="E14" s="217"/>
      <c r="F14" s="217"/>
      <c r="G14" s="216"/>
      <c r="H14" s="217"/>
      <c r="I14" s="217"/>
      <c r="J14" s="216"/>
      <c r="K14" s="219">
        <f t="shared" ref="K14:AL14" si="0">SUM(K15:K43)</f>
        <v>22.774999999999999</v>
      </c>
      <c r="L14" s="291" t="s">
        <v>604</v>
      </c>
      <c r="M14" s="219">
        <f t="shared" si="0"/>
        <v>1183320.9656250002</v>
      </c>
      <c r="N14" s="217">
        <v>183</v>
      </c>
      <c r="O14" s="219">
        <f t="shared" si="0"/>
        <v>1989828.5587499999</v>
      </c>
      <c r="P14" s="217">
        <f t="shared" si="0"/>
        <v>77</v>
      </c>
      <c r="Q14" s="219">
        <f t="shared" si="0"/>
        <v>838505.98124999995</v>
      </c>
      <c r="R14" s="219">
        <f t="shared" si="0"/>
        <v>1002913.8764062501</v>
      </c>
      <c r="S14" s="219">
        <f t="shared" si="0"/>
        <v>5014569.3820312498</v>
      </c>
      <c r="T14" s="219">
        <f t="shared" si="0"/>
        <v>501456.93820312503</v>
      </c>
      <c r="U14" s="217">
        <f t="shared" si="0"/>
        <v>3</v>
      </c>
      <c r="V14" s="217">
        <f t="shared" si="0"/>
        <v>26545.5</v>
      </c>
      <c r="W14" s="217">
        <f t="shared" si="0"/>
        <v>6</v>
      </c>
      <c r="X14" s="217">
        <f t="shared" si="0"/>
        <v>63709.19999999999</v>
      </c>
      <c r="Y14" s="269">
        <f t="shared" si="0"/>
        <v>84</v>
      </c>
      <c r="Z14" s="269">
        <f t="shared" si="0"/>
        <v>37163.699999999997</v>
      </c>
      <c r="AA14" s="269">
        <f t="shared" si="0"/>
        <v>78</v>
      </c>
      <c r="AB14" s="217">
        <f t="shared" si="0"/>
        <v>43136.4375</v>
      </c>
      <c r="AC14" s="218">
        <f t="shared" si="0"/>
        <v>110760</v>
      </c>
      <c r="AD14" s="217">
        <f t="shared" si="0"/>
        <v>35394</v>
      </c>
      <c r="AE14" s="219">
        <f t="shared" si="0"/>
        <v>1504370.8146093749</v>
      </c>
      <c r="AF14" s="217">
        <f t="shared" si="0"/>
        <v>0</v>
      </c>
      <c r="AG14" s="217">
        <f t="shared" si="0"/>
        <v>0</v>
      </c>
      <c r="AH14" s="217">
        <f t="shared" si="0"/>
        <v>17695</v>
      </c>
      <c r="AI14" s="219">
        <f t="shared" si="0"/>
        <v>541532.34773437504</v>
      </c>
      <c r="AJ14" s="219">
        <f t="shared" si="0"/>
        <v>328482.588984375</v>
      </c>
      <c r="AK14" s="219">
        <f t="shared" si="0"/>
        <v>692616.33750000002</v>
      </c>
      <c r="AL14" s="217">
        <f t="shared" si="0"/>
        <v>0</v>
      </c>
      <c r="AM14" s="218">
        <v>8952970</v>
      </c>
      <c r="AN14" s="217">
        <v>107435640</v>
      </c>
      <c r="AO14" s="242"/>
    </row>
    <row r="15" spans="1:41" s="227" customFormat="1" ht="19.5" customHeight="1" x14ac:dyDescent="0.2">
      <c r="A15" s="292">
        <v>1</v>
      </c>
      <c r="B15" s="293" t="s">
        <v>546</v>
      </c>
      <c r="C15" s="305" t="s">
        <v>562</v>
      </c>
      <c r="D15" s="294" t="s">
        <v>37</v>
      </c>
      <c r="E15" s="295" t="s">
        <v>177</v>
      </c>
      <c r="F15" s="295">
        <v>8</v>
      </c>
      <c r="G15" s="296">
        <v>4.74</v>
      </c>
      <c r="H15" s="297">
        <f t="shared" ref="H15:H44" si="1">G15*I15*J15</f>
        <v>167767.56</v>
      </c>
      <c r="I15" s="298">
        <v>2</v>
      </c>
      <c r="J15" s="292">
        <v>17697</v>
      </c>
      <c r="K15" s="299">
        <v>1</v>
      </c>
      <c r="L15" s="300">
        <v>16</v>
      </c>
      <c r="M15" s="301">
        <f t="shared" ref="M15:M44" si="2">G15*I15*J15/16*L15</f>
        <v>167767.56</v>
      </c>
      <c r="N15" s="300">
        <v>0</v>
      </c>
      <c r="O15" s="301">
        <f t="shared" ref="O15:O44" si="3">G15*I15*J15/16*N15</f>
        <v>0</v>
      </c>
      <c r="P15" s="298">
        <v>0</v>
      </c>
      <c r="Q15" s="297">
        <f t="shared" ref="Q15:Q44" si="4">G15*I15*J15/16*P15</f>
        <v>0</v>
      </c>
      <c r="R15" s="297">
        <f>(M15+O15+Q15)*25%</f>
        <v>41941.89</v>
      </c>
      <c r="S15" s="297">
        <f>M15+O15+Q15+R15</f>
        <v>209709.45</v>
      </c>
      <c r="T15" s="297">
        <f>S15*0.1</f>
        <v>20970.945000000003</v>
      </c>
      <c r="U15" s="298">
        <v>0.5</v>
      </c>
      <c r="V15" s="302">
        <f>17697*50%*U15</f>
        <v>4424.25</v>
      </c>
      <c r="W15" s="298"/>
      <c r="X15" s="303">
        <f>17697*60%*W15</f>
        <v>0</v>
      </c>
      <c r="Y15" s="292">
        <v>8</v>
      </c>
      <c r="Z15" s="297">
        <f>17697*40%/16*Y15</f>
        <v>3539.4</v>
      </c>
      <c r="AA15" s="298"/>
      <c r="AB15" s="297">
        <f>17697*50%/16*AA15</f>
        <v>0</v>
      </c>
      <c r="AC15" s="304"/>
      <c r="AD15" s="298"/>
      <c r="AE15" s="297">
        <f>S15*0.3</f>
        <v>62912.834999999999</v>
      </c>
      <c r="AF15" s="298"/>
      <c r="AG15" s="303">
        <f>17697*40%/16*AF15</f>
        <v>0</v>
      </c>
      <c r="AH15" s="292"/>
      <c r="AI15" s="297">
        <f>S15*30%</f>
        <v>62912.834999999999</v>
      </c>
      <c r="AJ15" s="297"/>
      <c r="AK15" s="297"/>
      <c r="AL15" s="298"/>
      <c r="AM15" s="297">
        <f>S15+T15+V15+X15+Z15+AB15+AC15+AD15+AE15+AG15+AH15+AI15+AJ15+AK15+AL15</f>
        <v>364469.71500000003</v>
      </c>
      <c r="AN15" s="297">
        <f>AM15*12</f>
        <v>4373636.58</v>
      </c>
      <c r="AO15" s="241"/>
    </row>
    <row r="16" spans="1:41" s="227" customFormat="1" ht="18.75" customHeight="1" x14ac:dyDescent="0.2">
      <c r="A16" s="292">
        <v>2</v>
      </c>
      <c r="B16" s="306" t="s">
        <v>547</v>
      </c>
      <c r="C16" s="307" t="s">
        <v>563</v>
      </c>
      <c r="D16" s="294" t="s">
        <v>37</v>
      </c>
      <c r="E16" s="295" t="s">
        <v>177</v>
      </c>
      <c r="F16" s="295">
        <v>11.5</v>
      </c>
      <c r="G16" s="296">
        <v>4.8099999999999996</v>
      </c>
      <c r="H16" s="297">
        <f t="shared" si="1"/>
        <v>170245.13999999998</v>
      </c>
      <c r="I16" s="298">
        <v>2</v>
      </c>
      <c r="J16" s="292">
        <v>17697</v>
      </c>
      <c r="K16" s="299">
        <v>0.9</v>
      </c>
      <c r="L16" s="300">
        <v>3.5</v>
      </c>
      <c r="M16" s="301">
        <f t="shared" si="2"/>
        <v>37241.124374999999</v>
      </c>
      <c r="N16" s="300">
        <v>5</v>
      </c>
      <c r="O16" s="301">
        <f t="shared" si="3"/>
        <v>53201.606249999997</v>
      </c>
      <c r="P16" s="300">
        <v>6</v>
      </c>
      <c r="Q16" s="297">
        <f t="shared" si="4"/>
        <v>63841.927499999991</v>
      </c>
      <c r="R16" s="297">
        <f t="shared" ref="R16:R44" si="5">(M16+O16+Q16)*25%</f>
        <v>38571.164531249997</v>
      </c>
      <c r="S16" s="297">
        <f t="shared" ref="S16:S44" si="6">M16+O16+Q16+R16</f>
        <v>192855.82265624998</v>
      </c>
      <c r="T16" s="297">
        <f t="shared" ref="T16:T44" si="7">S16*0.1</f>
        <v>19285.582265624998</v>
      </c>
      <c r="U16" s="298"/>
      <c r="V16" s="302">
        <f t="shared" ref="V16:V44" si="8">17697*50%*U16</f>
        <v>0</v>
      </c>
      <c r="W16" s="298">
        <v>0.5</v>
      </c>
      <c r="X16" s="303">
        <f t="shared" ref="X16:X44" si="9">17697*60%*W16</f>
        <v>5309.0999999999995</v>
      </c>
      <c r="Y16" s="292"/>
      <c r="Z16" s="297">
        <f t="shared" ref="Z16:Z44" si="10">17697*40%/16*Y16</f>
        <v>0</v>
      </c>
      <c r="AA16" s="298"/>
      <c r="AB16" s="297">
        <f t="shared" ref="AB16:AB44" si="11">17697*50%/16*AA16</f>
        <v>0</v>
      </c>
      <c r="AC16" s="304"/>
      <c r="AD16" s="298">
        <v>17697</v>
      </c>
      <c r="AE16" s="297">
        <f t="shared" ref="AE16:AE44" si="12">S16*0.3</f>
        <v>57856.746796874992</v>
      </c>
      <c r="AF16" s="298"/>
      <c r="AG16" s="303">
        <f t="shared" ref="AG16:AG44" si="13">17697*40%/16*AF16</f>
        <v>0</v>
      </c>
      <c r="AH16" s="292">
        <v>3539</v>
      </c>
      <c r="AI16" s="297">
        <f t="shared" ref="AI16:AI37" si="14">S16*30%</f>
        <v>57856.746796874992</v>
      </c>
      <c r="AJ16" s="297"/>
      <c r="AK16" s="297"/>
      <c r="AL16" s="298"/>
      <c r="AM16" s="297">
        <f t="shared" ref="AM16:AM44" si="15">S16+T16+V16+X16+Z16+AB16+AC16+AD16+AE16+AG16+AH16+AI16+AJ16+AK16+AL16</f>
        <v>354399.99851562496</v>
      </c>
      <c r="AN16" s="297">
        <f t="shared" ref="AN16:AN44" si="16">AM16*12</f>
        <v>4252799.9821874993</v>
      </c>
      <c r="AO16" s="241"/>
    </row>
    <row r="17" spans="1:41" s="227" customFormat="1" ht="27.75" customHeight="1" x14ac:dyDescent="0.2">
      <c r="A17" s="292">
        <v>3</v>
      </c>
      <c r="B17" s="293" t="s">
        <v>548</v>
      </c>
      <c r="C17" s="293" t="s">
        <v>564</v>
      </c>
      <c r="D17" s="294" t="s">
        <v>37</v>
      </c>
      <c r="E17" s="295" t="s">
        <v>174</v>
      </c>
      <c r="F17" s="295">
        <v>40</v>
      </c>
      <c r="G17" s="296">
        <v>5.41</v>
      </c>
      <c r="H17" s="297">
        <f t="shared" si="1"/>
        <v>191481.54</v>
      </c>
      <c r="I17" s="298">
        <v>2</v>
      </c>
      <c r="J17" s="292">
        <v>17697</v>
      </c>
      <c r="K17" s="299">
        <v>1.4</v>
      </c>
      <c r="L17" s="300">
        <v>6</v>
      </c>
      <c r="M17" s="301">
        <f t="shared" si="2"/>
        <v>71805.577499999999</v>
      </c>
      <c r="N17" s="300">
        <v>12</v>
      </c>
      <c r="O17" s="301">
        <f t="shared" si="3"/>
        <v>143611.155</v>
      </c>
      <c r="P17" s="300">
        <v>4</v>
      </c>
      <c r="Q17" s="297">
        <f t="shared" si="4"/>
        <v>47870.385000000002</v>
      </c>
      <c r="R17" s="297">
        <f t="shared" si="5"/>
        <v>65821.779374999998</v>
      </c>
      <c r="S17" s="297">
        <f t="shared" si="6"/>
        <v>329108.89687499998</v>
      </c>
      <c r="T17" s="297">
        <f t="shared" si="7"/>
        <v>32910.889687499999</v>
      </c>
      <c r="U17" s="298"/>
      <c r="V17" s="302">
        <f t="shared" si="8"/>
        <v>0</v>
      </c>
      <c r="W17" s="298"/>
      <c r="X17" s="303">
        <f t="shared" si="9"/>
        <v>0</v>
      </c>
      <c r="Y17" s="292">
        <v>6</v>
      </c>
      <c r="Z17" s="297">
        <f t="shared" si="10"/>
        <v>2654.55</v>
      </c>
      <c r="AA17" s="298">
        <v>16</v>
      </c>
      <c r="AB17" s="297">
        <f t="shared" si="11"/>
        <v>8848.5</v>
      </c>
      <c r="AC17" s="304"/>
      <c r="AD17" s="298"/>
      <c r="AE17" s="297">
        <f t="shared" si="12"/>
        <v>98732.66906249999</v>
      </c>
      <c r="AF17" s="298"/>
      <c r="AG17" s="303">
        <f t="shared" si="13"/>
        <v>0</v>
      </c>
      <c r="AH17" s="292"/>
      <c r="AI17" s="297"/>
      <c r="AJ17" s="297"/>
      <c r="AK17" s="297">
        <f t="shared" ref="AK17:AK19" si="17">S17*40%</f>
        <v>131643.55875</v>
      </c>
      <c r="AL17" s="298"/>
      <c r="AM17" s="297">
        <f t="shared" si="15"/>
        <v>603899.06437499996</v>
      </c>
      <c r="AN17" s="297">
        <f t="shared" si="16"/>
        <v>7246788.772499999</v>
      </c>
      <c r="AO17" s="241"/>
    </row>
    <row r="18" spans="1:41" s="227" customFormat="1" ht="19.5" customHeight="1" x14ac:dyDescent="0.2">
      <c r="A18" s="292">
        <v>4</v>
      </c>
      <c r="B18" s="293" t="s">
        <v>527</v>
      </c>
      <c r="C18" s="293" t="s">
        <v>565</v>
      </c>
      <c r="D18" s="294" t="s">
        <v>37</v>
      </c>
      <c r="E18" s="295" t="s">
        <v>178</v>
      </c>
      <c r="F18" s="295">
        <v>10</v>
      </c>
      <c r="G18" s="296">
        <v>4.8600000000000003</v>
      </c>
      <c r="H18" s="297">
        <f t="shared" si="1"/>
        <v>172014.84000000003</v>
      </c>
      <c r="I18" s="298">
        <v>2</v>
      </c>
      <c r="J18" s="292">
        <v>17697</v>
      </c>
      <c r="K18" s="299">
        <v>0.9</v>
      </c>
      <c r="L18" s="300">
        <v>7</v>
      </c>
      <c r="M18" s="301">
        <f t="shared" si="2"/>
        <v>75256.492500000008</v>
      </c>
      <c r="N18" s="300">
        <v>7</v>
      </c>
      <c r="O18" s="301">
        <f t="shared" si="3"/>
        <v>75256.492500000008</v>
      </c>
      <c r="P18" s="300">
        <v>0</v>
      </c>
      <c r="Q18" s="297">
        <f t="shared" si="4"/>
        <v>0</v>
      </c>
      <c r="R18" s="297">
        <f t="shared" si="5"/>
        <v>37628.246250000004</v>
      </c>
      <c r="S18" s="297">
        <f t="shared" si="6"/>
        <v>188141.23125000001</v>
      </c>
      <c r="T18" s="297">
        <f t="shared" si="7"/>
        <v>18814.123125000002</v>
      </c>
      <c r="U18" s="298"/>
      <c r="V18" s="302">
        <f t="shared" si="8"/>
        <v>0</v>
      </c>
      <c r="W18" s="298"/>
      <c r="X18" s="303">
        <f t="shared" si="9"/>
        <v>0</v>
      </c>
      <c r="Y18" s="292"/>
      <c r="Z18" s="297">
        <f t="shared" si="10"/>
        <v>0</v>
      </c>
      <c r="AA18" s="298"/>
      <c r="AB18" s="297">
        <f t="shared" si="11"/>
        <v>0</v>
      </c>
      <c r="AC18" s="304"/>
      <c r="AD18" s="298"/>
      <c r="AE18" s="297">
        <f t="shared" si="12"/>
        <v>56442.369375000002</v>
      </c>
      <c r="AF18" s="298"/>
      <c r="AG18" s="303">
        <f t="shared" si="13"/>
        <v>0</v>
      </c>
      <c r="AH18" s="292">
        <v>3539</v>
      </c>
      <c r="AI18" s="297"/>
      <c r="AJ18" s="297">
        <f t="shared" ref="AJ18:AJ20" si="18">S18*35%</f>
        <v>65849.430937500001</v>
      </c>
      <c r="AK18" s="297"/>
      <c r="AL18" s="298"/>
      <c r="AM18" s="297">
        <f t="shared" si="15"/>
        <v>332786.15468749998</v>
      </c>
      <c r="AN18" s="297">
        <f t="shared" si="16"/>
        <v>3993433.8562499997</v>
      </c>
      <c r="AO18" s="241"/>
    </row>
    <row r="19" spans="1:41" s="227" customFormat="1" ht="19.5" customHeight="1" x14ac:dyDescent="0.2">
      <c r="A19" s="292">
        <v>5</v>
      </c>
      <c r="B19" s="293" t="s">
        <v>503</v>
      </c>
      <c r="C19" s="293" t="s">
        <v>480</v>
      </c>
      <c r="D19" s="294" t="s">
        <v>37</v>
      </c>
      <c r="E19" s="295" t="s">
        <v>174</v>
      </c>
      <c r="F19" s="295">
        <v>26</v>
      </c>
      <c r="G19" s="296">
        <v>5.41</v>
      </c>
      <c r="H19" s="297">
        <f t="shared" si="1"/>
        <v>191481.54</v>
      </c>
      <c r="I19" s="298">
        <v>2</v>
      </c>
      <c r="J19" s="292">
        <v>17697</v>
      </c>
      <c r="K19" s="299">
        <v>0.5</v>
      </c>
      <c r="L19" s="300">
        <v>0</v>
      </c>
      <c r="M19" s="301">
        <f t="shared" si="2"/>
        <v>0</v>
      </c>
      <c r="N19" s="300">
        <v>8</v>
      </c>
      <c r="O19" s="301">
        <f t="shared" si="3"/>
        <v>95740.77</v>
      </c>
      <c r="P19" s="300">
        <v>0</v>
      </c>
      <c r="Q19" s="297">
        <f t="shared" si="4"/>
        <v>0</v>
      </c>
      <c r="R19" s="297">
        <f t="shared" si="5"/>
        <v>23935.192500000001</v>
      </c>
      <c r="S19" s="297">
        <f t="shared" si="6"/>
        <v>119675.96250000001</v>
      </c>
      <c r="T19" s="297">
        <f t="shared" si="7"/>
        <v>11967.596250000002</v>
      </c>
      <c r="U19" s="298"/>
      <c r="V19" s="302">
        <f t="shared" si="8"/>
        <v>0</v>
      </c>
      <c r="W19" s="298"/>
      <c r="X19" s="303">
        <f t="shared" si="9"/>
        <v>0</v>
      </c>
      <c r="Y19" s="292">
        <v>8</v>
      </c>
      <c r="Z19" s="297">
        <f t="shared" si="10"/>
        <v>3539.4</v>
      </c>
      <c r="AA19" s="298"/>
      <c r="AB19" s="297">
        <f t="shared" si="11"/>
        <v>0</v>
      </c>
      <c r="AC19" s="304"/>
      <c r="AD19" s="298"/>
      <c r="AE19" s="297">
        <f t="shared" si="12"/>
        <v>35902.78875</v>
      </c>
      <c r="AF19" s="298"/>
      <c r="AG19" s="303">
        <f t="shared" si="13"/>
        <v>0</v>
      </c>
      <c r="AH19" s="292"/>
      <c r="AI19" s="297"/>
      <c r="AJ19" s="297"/>
      <c r="AK19" s="297">
        <f t="shared" si="17"/>
        <v>47870.385000000009</v>
      </c>
      <c r="AL19" s="298"/>
      <c r="AM19" s="297">
        <f t="shared" si="15"/>
        <v>218956.13250000004</v>
      </c>
      <c r="AN19" s="297">
        <f t="shared" si="16"/>
        <v>2627473.5900000003</v>
      </c>
      <c r="AO19" s="241"/>
    </row>
    <row r="20" spans="1:41" s="227" customFormat="1" ht="19.5" customHeight="1" x14ac:dyDescent="0.2">
      <c r="A20" s="292">
        <v>6</v>
      </c>
      <c r="B20" s="306" t="s">
        <v>549</v>
      </c>
      <c r="C20" s="307" t="s">
        <v>566</v>
      </c>
      <c r="D20" s="294" t="s">
        <v>37</v>
      </c>
      <c r="E20" s="295" t="s">
        <v>178</v>
      </c>
      <c r="F20" s="295">
        <v>14</v>
      </c>
      <c r="G20" s="296">
        <v>4.95</v>
      </c>
      <c r="H20" s="297">
        <f t="shared" si="1"/>
        <v>175200.30000000002</v>
      </c>
      <c r="I20" s="298">
        <v>2</v>
      </c>
      <c r="J20" s="292">
        <v>17697</v>
      </c>
      <c r="K20" s="299">
        <v>0.9</v>
      </c>
      <c r="L20" s="300">
        <v>0</v>
      </c>
      <c r="M20" s="301">
        <f t="shared" si="2"/>
        <v>0</v>
      </c>
      <c r="N20" s="300">
        <v>9</v>
      </c>
      <c r="O20" s="301">
        <f t="shared" si="3"/>
        <v>98550.168750000012</v>
      </c>
      <c r="P20" s="300">
        <v>6</v>
      </c>
      <c r="Q20" s="297">
        <f t="shared" si="4"/>
        <v>65700.112500000003</v>
      </c>
      <c r="R20" s="297">
        <f t="shared" si="5"/>
        <v>41062.5703125</v>
      </c>
      <c r="S20" s="297">
        <f t="shared" si="6"/>
        <v>205312.8515625</v>
      </c>
      <c r="T20" s="297">
        <f t="shared" si="7"/>
        <v>20531.28515625</v>
      </c>
      <c r="U20" s="298"/>
      <c r="V20" s="302">
        <f t="shared" si="8"/>
        <v>0</v>
      </c>
      <c r="W20" s="298"/>
      <c r="X20" s="303">
        <f t="shared" si="9"/>
        <v>0</v>
      </c>
      <c r="Y20" s="292"/>
      <c r="Z20" s="297">
        <f t="shared" si="10"/>
        <v>0</v>
      </c>
      <c r="AA20" s="298"/>
      <c r="AB20" s="297">
        <f t="shared" si="11"/>
        <v>0</v>
      </c>
      <c r="AC20" s="304"/>
      <c r="AD20" s="298"/>
      <c r="AE20" s="297">
        <f t="shared" si="12"/>
        <v>61593.85546875</v>
      </c>
      <c r="AF20" s="298"/>
      <c r="AG20" s="303">
        <f t="shared" si="13"/>
        <v>0</v>
      </c>
      <c r="AH20" s="292"/>
      <c r="AI20" s="297"/>
      <c r="AJ20" s="297">
        <f t="shared" si="18"/>
        <v>71859.498046875</v>
      </c>
      <c r="AK20" s="297"/>
      <c r="AL20" s="298"/>
      <c r="AM20" s="297">
        <f t="shared" si="15"/>
        <v>359297.490234375</v>
      </c>
      <c r="AN20" s="297">
        <f t="shared" si="16"/>
        <v>4311569.8828125</v>
      </c>
      <c r="AO20" s="241"/>
    </row>
    <row r="21" spans="1:41" s="227" customFormat="1" ht="19.5" customHeight="1" x14ac:dyDescent="0.2">
      <c r="A21" s="292">
        <v>7</v>
      </c>
      <c r="B21" s="293" t="s">
        <v>511</v>
      </c>
      <c r="C21" s="293" t="s">
        <v>566</v>
      </c>
      <c r="D21" s="294" t="s">
        <v>37</v>
      </c>
      <c r="E21" s="295" t="s">
        <v>175</v>
      </c>
      <c r="F21" s="295">
        <v>17</v>
      </c>
      <c r="G21" s="296">
        <v>4.59</v>
      </c>
      <c r="H21" s="297">
        <f t="shared" si="1"/>
        <v>162458.46</v>
      </c>
      <c r="I21" s="298">
        <v>2</v>
      </c>
      <c r="J21" s="292">
        <v>17697</v>
      </c>
      <c r="K21" s="299">
        <v>0.3</v>
      </c>
      <c r="L21" s="300">
        <v>2</v>
      </c>
      <c r="M21" s="301">
        <f t="shared" si="2"/>
        <v>20307.307499999999</v>
      </c>
      <c r="N21" s="300">
        <v>3</v>
      </c>
      <c r="O21" s="301">
        <f t="shared" si="3"/>
        <v>30460.96125</v>
      </c>
      <c r="P21" s="300">
        <v>0</v>
      </c>
      <c r="Q21" s="297">
        <f t="shared" si="4"/>
        <v>0</v>
      </c>
      <c r="R21" s="297">
        <f t="shared" si="5"/>
        <v>12692.067187500001</v>
      </c>
      <c r="S21" s="297">
        <f t="shared" si="6"/>
        <v>63460.3359375</v>
      </c>
      <c r="T21" s="297">
        <f t="shared" si="7"/>
        <v>6346.0335937500004</v>
      </c>
      <c r="U21" s="298"/>
      <c r="V21" s="302">
        <f t="shared" si="8"/>
        <v>0</v>
      </c>
      <c r="W21" s="298"/>
      <c r="X21" s="303">
        <f t="shared" si="9"/>
        <v>0</v>
      </c>
      <c r="Y21" s="292"/>
      <c r="Z21" s="297">
        <f t="shared" si="10"/>
        <v>0</v>
      </c>
      <c r="AA21" s="298"/>
      <c r="AB21" s="297">
        <f t="shared" si="11"/>
        <v>0</v>
      </c>
      <c r="AC21" s="304"/>
      <c r="AD21" s="298"/>
      <c r="AE21" s="297">
        <f t="shared" si="12"/>
        <v>19038.100781249999</v>
      </c>
      <c r="AF21" s="298"/>
      <c r="AG21" s="303">
        <f t="shared" si="13"/>
        <v>0</v>
      </c>
      <c r="AH21" s="292"/>
      <c r="AI21" s="297"/>
      <c r="AJ21" s="297"/>
      <c r="AK21" s="297"/>
      <c r="AL21" s="298"/>
      <c r="AM21" s="297">
        <f t="shared" si="15"/>
        <v>88844.470312500009</v>
      </c>
      <c r="AN21" s="297">
        <f t="shared" si="16"/>
        <v>1066133.64375</v>
      </c>
      <c r="AO21" s="241"/>
    </row>
    <row r="22" spans="1:41" s="227" customFormat="1" ht="19.5" customHeight="1" x14ac:dyDescent="0.2">
      <c r="A22" s="292">
        <v>8</v>
      </c>
      <c r="B22" s="293" t="s">
        <v>505</v>
      </c>
      <c r="C22" s="293" t="s">
        <v>480</v>
      </c>
      <c r="D22" s="294" t="s">
        <v>37</v>
      </c>
      <c r="E22" s="295" t="s">
        <v>174</v>
      </c>
      <c r="F22" s="295">
        <v>16</v>
      </c>
      <c r="G22" s="296">
        <v>5.24</v>
      </c>
      <c r="H22" s="297">
        <f t="shared" si="1"/>
        <v>185464.56</v>
      </c>
      <c r="I22" s="298">
        <v>2</v>
      </c>
      <c r="J22" s="292">
        <v>17697</v>
      </c>
      <c r="K22" s="299">
        <v>0.5</v>
      </c>
      <c r="L22" s="300">
        <v>0</v>
      </c>
      <c r="M22" s="301">
        <f t="shared" si="2"/>
        <v>0</v>
      </c>
      <c r="N22" s="300">
        <v>8</v>
      </c>
      <c r="O22" s="301">
        <f t="shared" si="3"/>
        <v>92732.28</v>
      </c>
      <c r="P22" s="300">
        <v>0</v>
      </c>
      <c r="Q22" s="297">
        <f t="shared" si="4"/>
        <v>0</v>
      </c>
      <c r="R22" s="297">
        <f t="shared" si="5"/>
        <v>23183.07</v>
      </c>
      <c r="S22" s="297">
        <f t="shared" si="6"/>
        <v>115915.35</v>
      </c>
      <c r="T22" s="297">
        <f t="shared" si="7"/>
        <v>11591.535000000002</v>
      </c>
      <c r="U22" s="298"/>
      <c r="V22" s="302">
        <f t="shared" si="8"/>
        <v>0</v>
      </c>
      <c r="W22" s="298"/>
      <c r="X22" s="303">
        <f t="shared" si="9"/>
        <v>0</v>
      </c>
      <c r="Y22" s="292">
        <v>8</v>
      </c>
      <c r="Z22" s="297">
        <f t="shared" si="10"/>
        <v>3539.4</v>
      </c>
      <c r="AA22" s="298"/>
      <c r="AB22" s="297">
        <f t="shared" si="11"/>
        <v>0</v>
      </c>
      <c r="AC22" s="304"/>
      <c r="AD22" s="298"/>
      <c r="AE22" s="297">
        <f t="shared" si="12"/>
        <v>34774.605000000003</v>
      </c>
      <c r="AF22" s="298"/>
      <c r="AG22" s="303">
        <f t="shared" si="13"/>
        <v>0</v>
      </c>
      <c r="AH22" s="292"/>
      <c r="AI22" s="297"/>
      <c r="AJ22" s="297"/>
      <c r="AK22" s="297">
        <f t="shared" ref="AK22" si="19">S22*40%</f>
        <v>46366.140000000007</v>
      </c>
      <c r="AL22" s="298"/>
      <c r="AM22" s="297">
        <f t="shared" si="15"/>
        <v>212187.03000000003</v>
      </c>
      <c r="AN22" s="297">
        <f t="shared" si="16"/>
        <v>2546244.3600000003</v>
      </c>
      <c r="AO22" s="241"/>
    </row>
    <row r="23" spans="1:41" s="227" customFormat="1" ht="19.5" customHeight="1" x14ac:dyDescent="0.2">
      <c r="A23" s="367">
        <v>9</v>
      </c>
      <c r="B23" s="293" t="s">
        <v>550</v>
      </c>
      <c r="C23" s="293" t="s">
        <v>488</v>
      </c>
      <c r="D23" s="294" t="s">
        <v>37</v>
      </c>
      <c r="E23" s="295" t="s">
        <v>177</v>
      </c>
      <c r="F23" s="295">
        <v>13</v>
      </c>
      <c r="G23" s="296">
        <v>4.9000000000000004</v>
      </c>
      <c r="H23" s="297">
        <f t="shared" si="1"/>
        <v>173430.6</v>
      </c>
      <c r="I23" s="298">
        <v>2</v>
      </c>
      <c r="J23" s="292">
        <v>17697</v>
      </c>
      <c r="K23" s="299">
        <v>0.2</v>
      </c>
      <c r="L23" s="300">
        <v>1</v>
      </c>
      <c r="M23" s="301">
        <f t="shared" si="2"/>
        <v>10839.4125</v>
      </c>
      <c r="N23" s="300">
        <v>3</v>
      </c>
      <c r="O23" s="301">
        <f t="shared" si="3"/>
        <v>32518.237500000003</v>
      </c>
      <c r="P23" s="300">
        <v>0</v>
      </c>
      <c r="Q23" s="297">
        <f t="shared" si="4"/>
        <v>0</v>
      </c>
      <c r="R23" s="297">
        <f t="shared" si="5"/>
        <v>10839.4125</v>
      </c>
      <c r="S23" s="297">
        <f t="shared" si="6"/>
        <v>54197.0625</v>
      </c>
      <c r="T23" s="297">
        <f t="shared" si="7"/>
        <v>5419.7062500000002</v>
      </c>
      <c r="U23" s="298"/>
      <c r="V23" s="302">
        <f t="shared" si="8"/>
        <v>0</v>
      </c>
      <c r="W23" s="298"/>
      <c r="X23" s="303">
        <f t="shared" si="9"/>
        <v>0</v>
      </c>
      <c r="Y23" s="292"/>
      <c r="Z23" s="297">
        <f t="shared" si="10"/>
        <v>0</v>
      </c>
      <c r="AA23" s="298"/>
      <c r="AB23" s="297">
        <f t="shared" si="11"/>
        <v>0</v>
      </c>
      <c r="AC23" s="304"/>
      <c r="AD23" s="298"/>
      <c r="AE23" s="297">
        <f t="shared" si="12"/>
        <v>16259.11875</v>
      </c>
      <c r="AF23" s="298"/>
      <c r="AG23" s="303">
        <f t="shared" si="13"/>
        <v>0</v>
      </c>
      <c r="AH23" s="292"/>
      <c r="AI23" s="297">
        <f t="shared" si="14"/>
        <v>16259.11875</v>
      </c>
      <c r="AJ23" s="297"/>
      <c r="AK23" s="297"/>
      <c r="AL23" s="298"/>
      <c r="AM23" s="297">
        <f>S23+T23+V23+X23+Z23+AB23+AC23+AD23+AE23+AG23+AH23+AI23+AJ23+AK23+AL23</f>
        <v>92135.006249999991</v>
      </c>
      <c r="AN23" s="297">
        <f t="shared" si="16"/>
        <v>1105620.075</v>
      </c>
      <c r="AO23" s="241"/>
    </row>
    <row r="24" spans="1:41" s="227" customFormat="1" ht="19.5" customHeight="1" x14ac:dyDescent="0.2">
      <c r="A24" s="368"/>
      <c r="B24" s="293" t="s">
        <v>550</v>
      </c>
      <c r="C24" s="293" t="s">
        <v>479</v>
      </c>
      <c r="D24" s="294" t="s">
        <v>37</v>
      </c>
      <c r="E24" s="295" t="s">
        <v>175</v>
      </c>
      <c r="F24" s="295">
        <v>13</v>
      </c>
      <c r="G24" s="296">
        <v>4.49</v>
      </c>
      <c r="H24" s="297">
        <f t="shared" si="1"/>
        <v>158919.06</v>
      </c>
      <c r="I24" s="298">
        <v>2</v>
      </c>
      <c r="J24" s="292">
        <v>17697</v>
      </c>
      <c r="K24" s="299">
        <v>0.7</v>
      </c>
      <c r="L24" s="300">
        <v>0</v>
      </c>
      <c r="M24" s="301">
        <f t="shared" si="2"/>
        <v>0</v>
      </c>
      <c r="N24" s="300">
        <v>6</v>
      </c>
      <c r="O24" s="301">
        <f t="shared" si="3"/>
        <v>59594.647499999999</v>
      </c>
      <c r="P24" s="300">
        <v>6</v>
      </c>
      <c r="Q24" s="297">
        <f t="shared" si="4"/>
        <v>59594.647499999999</v>
      </c>
      <c r="R24" s="297">
        <f t="shared" si="5"/>
        <v>29797.32375</v>
      </c>
      <c r="S24" s="297">
        <f t="shared" si="6"/>
        <v>148986.61874999999</v>
      </c>
      <c r="T24" s="297">
        <f t="shared" si="7"/>
        <v>14898.661875</v>
      </c>
      <c r="U24" s="298"/>
      <c r="V24" s="302">
        <f t="shared" si="8"/>
        <v>0</v>
      </c>
      <c r="W24" s="298"/>
      <c r="X24" s="303">
        <f t="shared" si="9"/>
        <v>0</v>
      </c>
      <c r="Y24" s="292"/>
      <c r="Z24" s="297">
        <f t="shared" si="10"/>
        <v>0</v>
      </c>
      <c r="AA24" s="298"/>
      <c r="AB24" s="297">
        <f t="shared" si="11"/>
        <v>0</v>
      </c>
      <c r="AC24" s="304"/>
      <c r="AD24" s="298"/>
      <c r="AE24" s="297">
        <f t="shared" si="12"/>
        <v>44695.985624999994</v>
      </c>
      <c r="AF24" s="298"/>
      <c r="AG24" s="303">
        <f t="shared" si="13"/>
        <v>0</v>
      </c>
      <c r="AH24" s="292">
        <v>3539</v>
      </c>
      <c r="AI24" s="297"/>
      <c r="AJ24" s="297"/>
      <c r="AK24" s="297"/>
      <c r="AL24" s="298"/>
      <c r="AM24" s="297">
        <f t="shared" si="15"/>
        <v>212120.26624999999</v>
      </c>
      <c r="AN24" s="297">
        <f t="shared" si="16"/>
        <v>2545443.1949999998</v>
      </c>
      <c r="AO24" s="241"/>
    </row>
    <row r="25" spans="1:41" s="227" customFormat="1" ht="19.5" customHeight="1" x14ac:dyDescent="0.2">
      <c r="A25" s="292">
        <v>10</v>
      </c>
      <c r="B25" s="293" t="s">
        <v>515</v>
      </c>
      <c r="C25" s="293" t="s">
        <v>477</v>
      </c>
      <c r="D25" s="294" t="s">
        <v>37</v>
      </c>
      <c r="E25" s="295" t="s">
        <v>177</v>
      </c>
      <c r="F25" s="295">
        <v>4</v>
      </c>
      <c r="G25" s="296">
        <v>4.59</v>
      </c>
      <c r="H25" s="297">
        <f t="shared" si="1"/>
        <v>162458.46</v>
      </c>
      <c r="I25" s="298">
        <v>2</v>
      </c>
      <c r="J25" s="292">
        <v>17697</v>
      </c>
      <c r="K25" s="299">
        <v>0.375</v>
      </c>
      <c r="L25" s="300">
        <v>0</v>
      </c>
      <c r="M25" s="301">
        <f t="shared" si="2"/>
        <v>0</v>
      </c>
      <c r="N25" s="300">
        <v>6</v>
      </c>
      <c r="O25" s="301">
        <f t="shared" si="3"/>
        <v>60921.922500000001</v>
      </c>
      <c r="P25" s="300">
        <v>0</v>
      </c>
      <c r="Q25" s="297">
        <f t="shared" si="4"/>
        <v>0</v>
      </c>
      <c r="R25" s="297">
        <f t="shared" si="5"/>
        <v>15230.480625</v>
      </c>
      <c r="S25" s="297">
        <f t="shared" si="6"/>
        <v>76152.403124999997</v>
      </c>
      <c r="T25" s="297">
        <f t="shared" si="7"/>
        <v>7615.2403125000001</v>
      </c>
      <c r="U25" s="298"/>
      <c r="V25" s="302">
        <f t="shared" si="8"/>
        <v>0</v>
      </c>
      <c r="W25" s="298"/>
      <c r="X25" s="303">
        <f t="shared" si="9"/>
        <v>0</v>
      </c>
      <c r="Y25" s="292"/>
      <c r="Z25" s="297">
        <f t="shared" si="10"/>
        <v>0</v>
      </c>
      <c r="AA25" s="298"/>
      <c r="AB25" s="297">
        <f t="shared" si="11"/>
        <v>0</v>
      </c>
      <c r="AC25" s="304"/>
      <c r="AD25" s="298"/>
      <c r="AE25" s="297">
        <f t="shared" si="12"/>
        <v>22845.720937499998</v>
      </c>
      <c r="AF25" s="298"/>
      <c r="AG25" s="303">
        <f t="shared" si="13"/>
        <v>0</v>
      </c>
      <c r="AH25" s="292"/>
      <c r="AI25" s="297">
        <f t="shared" si="14"/>
        <v>22845.720937499998</v>
      </c>
      <c r="AJ25" s="297"/>
      <c r="AK25" s="297"/>
      <c r="AL25" s="298"/>
      <c r="AM25" s="297">
        <f t="shared" si="15"/>
        <v>129459.08531249998</v>
      </c>
      <c r="AN25" s="297">
        <f t="shared" si="16"/>
        <v>1553509.0237499997</v>
      </c>
      <c r="AO25" s="241"/>
    </row>
    <row r="26" spans="1:41" s="227" customFormat="1" ht="19.5" customHeight="1" x14ac:dyDescent="0.2">
      <c r="A26" s="292">
        <v>11</v>
      </c>
      <c r="B26" s="293" t="s">
        <v>551</v>
      </c>
      <c r="C26" s="293" t="s">
        <v>474</v>
      </c>
      <c r="D26" s="294" t="s">
        <v>37</v>
      </c>
      <c r="E26" s="295" t="s">
        <v>177</v>
      </c>
      <c r="F26" s="295">
        <v>4.9000000000000004</v>
      </c>
      <c r="G26" s="296">
        <v>4.66</v>
      </c>
      <c r="H26" s="297">
        <f t="shared" si="1"/>
        <v>164936.04</v>
      </c>
      <c r="I26" s="298">
        <v>2</v>
      </c>
      <c r="J26" s="292">
        <v>17697</v>
      </c>
      <c r="K26" s="299">
        <v>1.1000000000000001</v>
      </c>
      <c r="L26" s="300">
        <v>2</v>
      </c>
      <c r="M26" s="301">
        <f t="shared" si="2"/>
        <v>20617.005000000001</v>
      </c>
      <c r="N26" s="300">
        <v>12</v>
      </c>
      <c r="O26" s="301">
        <f t="shared" si="3"/>
        <v>123702.03</v>
      </c>
      <c r="P26" s="300">
        <v>3</v>
      </c>
      <c r="Q26" s="297">
        <f t="shared" si="4"/>
        <v>30925.5075</v>
      </c>
      <c r="R26" s="297">
        <f t="shared" si="5"/>
        <v>43811.135625000003</v>
      </c>
      <c r="S26" s="297">
        <f t="shared" si="6"/>
        <v>219055.67812500001</v>
      </c>
      <c r="T26" s="297">
        <f t="shared" si="7"/>
        <v>21905.567812500001</v>
      </c>
      <c r="U26" s="298"/>
      <c r="V26" s="302">
        <f t="shared" si="8"/>
        <v>0</v>
      </c>
      <c r="W26" s="298">
        <v>1</v>
      </c>
      <c r="X26" s="303">
        <f t="shared" si="9"/>
        <v>10618.199999999999</v>
      </c>
      <c r="Y26" s="292">
        <v>2</v>
      </c>
      <c r="Z26" s="297">
        <f t="shared" si="10"/>
        <v>884.85</v>
      </c>
      <c r="AA26" s="298">
        <v>15</v>
      </c>
      <c r="AB26" s="297">
        <f t="shared" si="11"/>
        <v>8295.46875</v>
      </c>
      <c r="AC26" s="304"/>
      <c r="AD26" s="298"/>
      <c r="AE26" s="297">
        <f t="shared" si="12"/>
        <v>65716.703437499993</v>
      </c>
      <c r="AF26" s="298"/>
      <c r="AG26" s="303">
        <f t="shared" si="13"/>
        <v>0</v>
      </c>
      <c r="AH26" s="292"/>
      <c r="AI26" s="297">
        <f t="shared" si="14"/>
        <v>65716.703437499993</v>
      </c>
      <c r="AJ26" s="297"/>
      <c r="AK26" s="297"/>
      <c r="AL26" s="298"/>
      <c r="AM26" s="297">
        <f t="shared" si="15"/>
        <v>392193.17156250001</v>
      </c>
      <c r="AN26" s="297">
        <f t="shared" si="16"/>
        <v>4706318.0587499999</v>
      </c>
      <c r="AO26" s="241"/>
    </row>
    <row r="27" spans="1:41" s="227" customFormat="1" ht="19.5" customHeight="1" x14ac:dyDescent="0.2">
      <c r="A27" s="292">
        <v>12</v>
      </c>
      <c r="B27" s="293" t="s">
        <v>552</v>
      </c>
      <c r="C27" s="293" t="s">
        <v>475</v>
      </c>
      <c r="D27" s="294" t="s">
        <v>37</v>
      </c>
      <c r="E27" s="295" t="s">
        <v>177</v>
      </c>
      <c r="F27" s="295">
        <v>15</v>
      </c>
      <c r="G27" s="296">
        <v>4.9000000000000004</v>
      </c>
      <c r="H27" s="297">
        <f t="shared" si="1"/>
        <v>173430.6</v>
      </c>
      <c r="I27" s="298">
        <v>2</v>
      </c>
      <c r="J27" s="292">
        <v>17697</v>
      </c>
      <c r="K27" s="299">
        <v>1.1000000000000001</v>
      </c>
      <c r="L27" s="300">
        <v>18</v>
      </c>
      <c r="M27" s="301">
        <f t="shared" si="2"/>
        <v>195109.42500000002</v>
      </c>
      <c r="N27" s="300">
        <v>0</v>
      </c>
      <c r="O27" s="301">
        <f t="shared" si="3"/>
        <v>0</v>
      </c>
      <c r="P27" s="300">
        <v>0</v>
      </c>
      <c r="Q27" s="297">
        <f t="shared" si="4"/>
        <v>0</v>
      </c>
      <c r="R27" s="297">
        <f t="shared" si="5"/>
        <v>48777.356250000004</v>
      </c>
      <c r="S27" s="297">
        <f t="shared" si="6"/>
        <v>243886.78125000003</v>
      </c>
      <c r="T27" s="297">
        <f t="shared" si="7"/>
        <v>24388.678125000006</v>
      </c>
      <c r="U27" s="298">
        <v>0.5</v>
      </c>
      <c r="V27" s="302">
        <f t="shared" si="8"/>
        <v>4424.25</v>
      </c>
      <c r="W27" s="298"/>
      <c r="X27" s="303">
        <f t="shared" si="9"/>
        <v>0</v>
      </c>
      <c r="Y27" s="292">
        <v>9</v>
      </c>
      <c r="Z27" s="297">
        <f t="shared" si="10"/>
        <v>3981.8250000000003</v>
      </c>
      <c r="AA27" s="298"/>
      <c r="AB27" s="297">
        <f t="shared" si="11"/>
        <v>0</v>
      </c>
      <c r="AC27" s="304"/>
      <c r="AD27" s="298"/>
      <c r="AE27" s="297">
        <f t="shared" si="12"/>
        <v>73166.034375000003</v>
      </c>
      <c r="AF27" s="298"/>
      <c r="AG27" s="303">
        <f t="shared" si="13"/>
        <v>0</v>
      </c>
      <c r="AH27" s="292"/>
      <c r="AI27" s="297">
        <f t="shared" si="14"/>
        <v>73166.034375000003</v>
      </c>
      <c r="AJ27" s="297"/>
      <c r="AK27" s="297"/>
      <c r="AL27" s="298"/>
      <c r="AM27" s="297">
        <f t="shared" si="15"/>
        <v>423013.60312500002</v>
      </c>
      <c r="AN27" s="297">
        <f t="shared" si="16"/>
        <v>5076163.2375000007</v>
      </c>
      <c r="AO27" s="241"/>
    </row>
    <row r="28" spans="1:41" s="227" customFormat="1" ht="19.5" customHeight="1" x14ac:dyDescent="0.2">
      <c r="A28" s="292">
        <v>13</v>
      </c>
      <c r="B28" s="293" t="s">
        <v>553</v>
      </c>
      <c r="C28" s="293" t="s">
        <v>475</v>
      </c>
      <c r="D28" s="294" t="s">
        <v>37</v>
      </c>
      <c r="E28" s="295" t="s">
        <v>178</v>
      </c>
      <c r="F28" s="295">
        <v>18.600000000000001</v>
      </c>
      <c r="G28" s="296">
        <v>5.03</v>
      </c>
      <c r="H28" s="297">
        <f t="shared" si="1"/>
        <v>178031.82</v>
      </c>
      <c r="I28" s="298">
        <v>2</v>
      </c>
      <c r="J28" s="292">
        <v>17697</v>
      </c>
      <c r="K28" s="299">
        <v>1</v>
      </c>
      <c r="L28" s="300">
        <v>16</v>
      </c>
      <c r="M28" s="301">
        <f t="shared" si="2"/>
        <v>178031.82</v>
      </c>
      <c r="N28" s="300">
        <v>0</v>
      </c>
      <c r="O28" s="301">
        <f t="shared" si="3"/>
        <v>0</v>
      </c>
      <c r="P28" s="300">
        <v>0</v>
      </c>
      <c r="Q28" s="297">
        <f t="shared" si="4"/>
        <v>0</v>
      </c>
      <c r="R28" s="297">
        <f t="shared" si="5"/>
        <v>44507.955000000002</v>
      </c>
      <c r="S28" s="297">
        <f t="shared" si="6"/>
        <v>222539.77500000002</v>
      </c>
      <c r="T28" s="297">
        <f t="shared" si="7"/>
        <v>22253.977500000005</v>
      </c>
      <c r="U28" s="298">
        <v>1</v>
      </c>
      <c r="V28" s="302">
        <f t="shared" si="8"/>
        <v>8848.5</v>
      </c>
      <c r="W28" s="298"/>
      <c r="X28" s="303">
        <f t="shared" si="9"/>
        <v>0</v>
      </c>
      <c r="Y28" s="292">
        <v>8</v>
      </c>
      <c r="Z28" s="297">
        <f t="shared" si="10"/>
        <v>3539.4</v>
      </c>
      <c r="AA28" s="298"/>
      <c r="AB28" s="297">
        <f t="shared" si="11"/>
        <v>0</v>
      </c>
      <c r="AC28" s="304">
        <v>36920</v>
      </c>
      <c r="AD28" s="298"/>
      <c r="AE28" s="297">
        <f t="shared" si="12"/>
        <v>66761.93250000001</v>
      </c>
      <c r="AF28" s="298"/>
      <c r="AG28" s="303">
        <f t="shared" si="13"/>
        <v>0</v>
      </c>
      <c r="AH28" s="292">
        <v>3539</v>
      </c>
      <c r="AI28" s="297"/>
      <c r="AJ28" s="297">
        <f t="shared" ref="AJ28" si="20">S28*35%</f>
        <v>77888.921249999999</v>
      </c>
      <c r="AK28" s="297"/>
      <c r="AL28" s="298"/>
      <c r="AM28" s="297">
        <f t="shared" si="15"/>
        <v>442291.50625000003</v>
      </c>
      <c r="AN28" s="297">
        <f t="shared" si="16"/>
        <v>5307498.0750000002</v>
      </c>
      <c r="AO28" s="241"/>
    </row>
    <row r="29" spans="1:41" s="227" customFormat="1" ht="19.5" customHeight="1" x14ac:dyDescent="0.2">
      <c r="A29" s="292">
        <v>14</v>
      </c>
      <c r="B29" s="293" t="s">
        <v>554</v>
      </c>
      <c r="C29" s="293" t="s">
        <v>564</v>
      </c>
      <c r="D29" s="294" t="s">
        <v>37</v>
      </c>
      <c r="E29" s="295" t="s">
        <v>177</v>
      </c>
      <c r="F29" s="295">
        <v>6</v>
      </c>
      <c r="G29" s="296">
        <v>4.66</v>
      </c>
      <c r="H29" s="297">
        <f t="shared" si="1"/>
        <v>164936.04</v>
      </c>
      <c r="I29" s="298">
        <v>2</v>
      </c>
      <c r="J29" s="292">
        <v>17697</v>
      </c>
      <c r="K29" s="299">
        <v>1</v>
      </c>
      <c r="L29" s="300">
        <v>2</v>
      </c>
      <c r="M29" s="301">
        <f t="shared" si="2"/>
        <v>20617.005000000001</v>
      </c>
      <c r="N29" s="300">
        <v>12</v>
      </c>
      <c r="O29" s="301">
        <f t="shared" si="3"/>
        <v>123702.03</v>
      </c>
      <c r="P29" s="300">
        <v>2</v>
      </c>
      <c r="Q29" s="297">
        <f t="shared" si="4"/>
        <v>20617.005000000001</v>
      </c>
      <c r="R29" s="297">
        <f t="shared" si="5"/>
        <v>41234.01</v>
      </c>
      <c r="S29" s="297">
        <f t="shared" si="6"/>
        <v>206170.05000000002</v>
      </c>
      <c r="T29" s="297">
        <f t="shared" si="7"/>
        <v>20617.005000000005</v>
      </c>
      <c r="U29" s="298"/>
      <c r="V29" s="302">
        <f t="shared" si="8"/>
        <v>0</v>
      </c>
      <c r="W29" s="298">
        <v>1</v>
      </c>
      <c r="X29" s="303">
        <f t="shared" si="9"/>
        <v>10618.199999999999</v>
      </c>
      <c r="Y29" s="298">
        <v>2</v>
      </c>
      <c r="Z29" s="297">
        <f t="shared" si="10"/>
        <v>884.85</v>
      </c>
      <c r="AA29" s="298">
        <v>14</v>
      </c>
      <c r="AB29" s="297">
        <f t="shared" si="11"/>
        <v>7742.4375</v>
      </c>
      <c r="AC29" s="304"/>
      <c r="AD29" s="298"/>
      <c r="AE29" s="297">
        <f t="shared" si="12"/>
        <v>61851.014999999999</v>
      </c>
      <c r="AF29" s="298"/>
      <c r="AG29" s="303">
        <f t="shared" si="13"/>
        <v>0</v>
      </c>
      <c r="AH29" s="298"/>
      <c r="AI29" s="297">
        <f t="shared" si="14"/>
        <v>61851.014999999999</v>
      </c>
      <c r="AJ29" s="297"/>
      <c r="AK29" s="297"/>
      <c r="AL29" s="298"/>
      <c r="AM29" s="297">
        <f t="shared" si="15"/>
        <v>369734.57250000007</v>
      </c>
      <c r="AN29" s="297">
        <f t="shared" si="16"/>
        <v>4436814.870000001</v>
      </c>
      <c r="AO29" s="241"/>
    </row>
    <row r="30" spans="1:41" s="227" customFormat="1" ht="19.5" customHeight="1" x14ac:dyDescent="0.2">
      <c r="A30" s="292">
        <v>15</v>
      </c>
      <c r="B30" s="293" t="s">
        <v>555</v>
      </c>
      <c r="C30" s="293" t="s">
        <v>567</v>
      </c>
      <c r="D30" s="294" t="s">
        <v>37</v>
      </c>
      <c r="E30" s="295" t="s">
        <v>174</v>
      </c>
      <c r="F30" s="295">
        <v>29.4</v>
      </c>
      <c r="G30" s="296">
        <v>5.41</v>
      </c>
      <c r="H30" s="297">
        <f t="shared" si="1"/>
        <v>191481.54</v>
      </c>
      <c r="I30" s="298">
        <v>2</v>
      </c>
      <c r="J30" s="292">
        <v>17697</v>
      </c>
      <c r="K30" s="299">
        <v>1</v>
      </c>
      <c r="L30" s="300">
        <v>0</v>
      </c>
      <c r="M30" s="301">
        <f t="shared" si="2"/>
        <v>0</v>
      </c>
      <c r="N30" s="300">
        <v>10</v>
      </c>
      <c r="O30" s="301">
        <f t="shared" si="3"/>
        <v>119675.96250000001</v>
      </c>
      <c r="P30" s="300">
        <v>6</v>
      </c>
      <c r="Q30" s="297">
        <f t="shared" si="4"/>
        <v>71805.577499999999</v>
      </c>
      <c r="R30" s="297">
        <f t="shared" si="5"/>
        <v>47870.385000000002</v>
      </c>
      <c r="S30" s="297">
        <f t="shared" si="6"/>
        <v>239351.92500000002</v>
      </c>
      <c r="T30" s="297">
        <f t="shared" si="7"/>
        <v>23935.192500000005</v>
      </c>
      <c r="U30" s="298"/>
      <c r="V30" s="302">
        <f t="shared" si="8"/>
        <v>0</v>
      </c>
      <c r="W30" s="298"/>
      <c r="X30" s="303">
        <f t="shared" si="9"/>
        <v>0</v>
      </c>
      <c r="Y30" s="292"/>
      <c r="Z30" s="297">
        <f t="shared" si="10"/>
        <v>0</v>
      </c>
      <c r="AA30" s="298">
        <v>7</v>
      </c>
      <c r="AB30" s="297">
        <f t="shared" si="11"/>
        <v>3871.21875</v>
      </c>
      <c r="AC30" s="304"/>
      <c r="AD30" s="298"/>
      <c r="AE30" s="297">
        <f t="shared" si="12"/>
        <v>71805.577499999999</v>
      </c>
      <c r="AF30" s="298"/>
      <c r="AG30" s="303">
        <f t="shared" si="13"/>
        <v>0</v>
      </c>
      <c r="AH30" s="292"/>
      <c r="AI30" s="297"/>
      <c r="AJ30" s="297"/>
      <c r="AK30" s="297">
        <f t="shared" ref="AK30" si="21">S30*40%</f>
        <v>95740.770000000019</v>
      </c>
      <c r="AL30" s="298"/>
      <c r="AM30" s="297">
        <f>S30+T30+V30+X30+Z30+AB30+AC30+AD30+AE30+AG30+AH30+AI30+AJ30+AK30+AL30</f>
        <v>434704.68375000008</v>
      </c>
      <c r="AN30" s="297">
        <f t="shared" si="16"/>
        <v>5216456.205000001</v>
      </c>
      <c r="AO30" s="241"/>
    </row>
    <row r="31" spans="1:41" s="227" customFormat="1" ht="19.5" customHeight="1" x14ac:dyDescent="0.2">
      <c r="A31" s="292">
        <v>16</v>
      </c>
      <c r="B31" s="293" t="s">
        <v>556</v>
      </c>
      <c r="C31" s="293" t="s">
        <v>477</v>
      </c>
      <c r="D31" s="294" t="s">
        <v>37</v>
      </c>
      <c r="E31" s="295" t="s">
        <v>177</v>
      </c>
      <c r="F31" s="295">
        <v>15.3</v>
      </c>
      <c r="G31" s="296">
        <v>4.9000000000000004</v>
      </c>
      <c r="H31" s="297">
        <f t="shared" si="1"/>
        <v>173430.6</v>
      </c>
      <c r="I31" s="298">
        <v>2</v>
      </c>
      <c r="J31" s="292">
        <v>17697</v>
      </c>
      <c r="K31" s="299">
        <v>1</v>
      </c>
      <c r="L31" s="300">
        <v>0</v>
      </c>
      <c r="M31" s="301">
        <f t="shared" si="2"/>
        <v>0</v>
      </c>
      <c r="N31" s="300">
        <v>10</v>
      </c>
      <c r="O31" s="301">
        <f t="shared" si="3"/>
        <v>108394.125</v>
      </c>
      <c r="P31" s="300">
        <v>6</v>
      </c>
      <c r="Q31" s="297">
        <f t="shared" si="4"/>
        <v>65036.475000000006</v>
      </c>
      <c r="R31" s="297">
        <f t="shared" si="5"/>
        <v>43357.65</v>
      </c>
      <c r="S31" s="297">
        <f t="shared" si="6"/>
        <v>216788.25</v>
      </c>
      <c r="T31" s="297">
        <f t="shared" si="7"/>
        <v>21678.825000000001</v>
      </c>
      <c r="U31" s="298"/>
      <c r="V31" s="302">
        <f t="shared" si="8"/>
        <v>0</v>
      </c>
      <c r="W31" s="298">
        <v>1</v>
      </c>
      <c r="X31" s="303">
        <f t="shared" si="9"/>
        <v>10618.199999999999</v>
      </c>
      <c r="Y31" s="292"/>
      <c r="Z31" s="297">
        <f t="shared" si="10"/>
        <v>0</v>
      </c>
      <c r="AA31" s="298"/>
      <c r="AB31" s="297">
        <f t="shared" si="11"/>
        <v>0</v>
      </c>
      <c r="AC31" s="304"/>
      <c r="AD31" s="298"/>
      <c r="AE31" s="297">
        <f t="shared" si="12"/>
        <v>65036.474999999999</v>
      </c>
      <c r="AF31" s="298"/>
      <c r="AG31" s="303">
        <f t="shared" si="13"/>
        <v>0</v>
      </c>
      <c r="AH31" s="292"/>
      <c r="AI31" s="297">
        <f t="shared" si="14"/>
        <v>65036.474999999999</v>
      </c>
      <c r="AJ31" s="297"/>
      <c r="AK31" s="297"/>
      <c r="AL31" s="298"/>
      <c r="AM31" s="297">
        <f t="shared" si="15"/>
        <v>379158.22499999998</v>
      </c>
      <c r="AN31" s="297">
        <f t="shared" si="16"/>
        <v>4549898.6999999993</v>
      </c>
      <c r="AO31" s="241"/>
    </row>
    <row r="32" spans="1:41" s="227" customFormat="1" ht="19.5" customHeight="1" x14ac:dyDescent="0.2">
      <c r="A32" s="292">
        <v>17</v>
      </c>
      <c r="B32" s="293" t="s">
        <v>508</v>
      </c>
      <c r="C32" s="293" t="s">
        <v>565</v>
      </c>
      <c r="D32" s="294" t="s">
        <v>37</v>
      </c>
      <c r="E32" s="295" t="s">
        <v>174</v>
      </c>
      <c r="F32" s="295">
        <v>26.3</v>
      </c>
      <c r="G32" s="296">
        <v>5.41</v>
      </c>
      <c r="H32" s="297">
        <f t="shared" si="1"/>
        <v>191481.54</v>
      </c>
      <c r="I32" s="298">
        <v>2</v>
      </c>
      <c r="J32" s="292">
        <v>17697</v>
      </c>
      <c r="K32" s="299">
        <v>0.5</v>
      </c>
      <c r="L32" s="300">
        <v>0</v>
      </c>
      <c r="M32" s="301">
        <f t="shared" si="2"/>
        <v>0</v>
      </c>
      <c r="N32" s="300">
        <v>7</v>
      </c>
      <c r="O32" s="301">
        <f t="shared" si="3"/>
        <v>83773.173750000002</v>
      </c>
      <c r="P32" s="300">
        <v>1</v>
      </c>
      <c r="Q32" s="297">
        <f t="shared" si="4"/>
        <v>11967.596250000001</v>
      </c>
      <c r="R32" s="297">
        <f t="shared" si="5"/>
        <v>23935.192500000001</v>
      </c>
      <c r="S32" s="297">
        <f t="shared" si="6"/>
        <v>119675.96250000001</v>
      </c>
      <c r="T32" s="297">
        <f t="shared" si="7"/>
        <v>11967.596250000002</v>
      </c>
      <c r="U32" s="298"/>
      <c r="V32" s="302">
        <f t="shared" si="8"/>
        <v>0</v>
      </c>
      <c r="W32" s="298"/>
      <c r="X32" s="303">
        <f t="shared" si="9"/>
        <v>0</v>
      </c>
      <c r="Y32" s="292"/>
      <c r="Z32" s="297">
        <f t="shared" si="10"/>
        <v>0</v>
      </c>
      <c r="AA32" s="298"/>
      <c r="AB32" s="297">
        <f t="shared" si="11"/>
        <v>0</v>
      </c>
      <c r="AC32" s="304"/>
      <c r="AD32" s="298"/>
      <c r="AE32" s="297">
        <f t="shared" si="12"/>
        <v>35902.78875</v>
      </c>
      <c r="AF32" s="298"/>
      <c r="AG32" s="303">
        <f t="shared" si="13"/>
        <v>0</v>
      </c>
      <c r="AH32" s="292"/>
      <c r="AI32" s="297"/>
      <c r="AJ32" s="297"/>
      <c r="AK32" s="297">
        <f t="shared" ref="AK32" si="22">S32*40%</f>
        <v>47870.385000000009</v>
      </c>
      <c r="AL32" s="298"/>
      <c r="AM32" s="297">
        <f t="shared" si="15"/>
        <v>215416.73250000004</v>
      </c>
      <c r="AN32" s="297">
        <f t="shared" si="16"/>
        <v>2585000.7900000005</v>
      </c>
      <c r="AO32" s="241"/>
    </row>
    <row r="33" spans="1:41" s="227" customFormat="1" ht="19.5" customHeight="1" x14ac:dyDescent="0.2">
      <c r="A33" s="367">
        <v>18</v>
      </c>
      <c r="B33" s="293" t="s">
        <v>557</v>
      </c>
      <c r="C33" s="293" t="s">
        <v>478</v>
      </c>
      <c r="D33" s="294" t="s">
        <v>37</v>
      </c>
      <c r="E33" s="295" t="s">
        <v>177</v>
      </c>
      <c r="F33" s="295">
        <v>15</v>
      </c>
      <c r="G33" s="296">
        <v>4.9000000000000004</v>
      </c>
      <c r="H33" s="297">
        <f t="shared" si="1"/>
        <v>173430.6</v>
      </c>
      <c r="I33" s="298">
        <v>2</v>
      </c>
      <c r="J33" s="292">
        <v>17697</v>
      </c>
      <c r="K33" s="299">
        <v>0.8</v>
      </c>
      <c r="L33" s="300">
        <v>0</v>
      </c>
      <c r="M33" s="301">
        <f t="shared" si="2"/>
        <v>0</v>
      </c>
      <c r="N33" s="300">
        <v>10</v>
      </c>
      <c r="O33" s="301">
        <f t="shared" si="3"/>
        <v>108394.125</v>
      </c>
      <c r="P33" s="300">
        <v>4</v>
      </c>
      <c r="Q33" s="297">
        <f t="shared" si="4"/>
        <v>43357.65</v>
      </c>
      <c r="R33" s="297">
        <f t="shared" si="5"/>
        <v>37937.943749999999</v>
      </c>
      <c r="S33" s="297">
        <f t="shared" si="6"/>
        <v>189689.71875</v>
      </c>
      <c r="T33" s="297">
        <f t="shared" si="7"/>
        <v>18968.971874999999</v>
      </c>
      <c r="U33" s="298"/>
      <c r="V33" s="302">
        <f t="shared" si="8"/>
        <v>0</v>
      </c>
      <c r="W33" s="298">
        <v>1</v>
      </c>
      <c r="X33" s="303">
        <f t="shared" si="9"/>
        <v>10618.199999999999</v>
      </c>
      <c r="Y33" s="292"/>
      <c r="Z33" s="297">
        <f t="shared" si="10"/>
        <v>0</v>
      </c>
      <c r="AA33" s="298"/>
      <c r="AB33" s="297">
        <f t="shared" si="11"/>
        <v>0</v>
      </c>
      <c r="AC33" s="304">
        <v>36920</v>
      </c>
      <c r="AD33" s="298"/>
      <c r="AE33" s="297">
        <f t="shared" si="12"/>
        <v>56906.915625000001</v>
      </c>
      <c r="AF33" s="298"/>
      <c r="AG33" s="303">
        <f t="shared" si="13"/>
        <v>0</v>
      </c>
      <c r="AH33" s="292">
        <v>3539</v>
      </c>
      <c r="AI33" s="297">
        <f t="shared" si="14"/>
        <v>56906.915625000001</v>
      </c>
      <c r="AJ33" s="297"/>
      <c r="AK33" s="297"/>
      <c r="AL33" s="298"/>
      <c r="AM33" s="297">
        <f t="shared" si="15"/>
        <v>373549.72187500005</v>
      </c>
      <c r="AN33" s="297">
        <f t="shared" si="16"/>
        <v>4482596.6625000006</v>
      </c>
      <c r="AO33" s="241"/>
    </row>
    <row r="34" spans="1:41" s="227" customFormat="1" ht="19.5" customHeight="1" x14ac:dyDescent="0.2">
      <c r="A34" s="368"/>
      <c r="B34" s="293" t="s">
        <v>557</v>
      </c>
      <c r="C34" s="293" t="s">
        <v>476</v>
      </c>
      <c r="D34" s="294" t="s">
        <v>37</v>
      </c>
      <c r="E34" s="295" t="s">
        <v>175</v>
      </c>
      <c r="F34" s="295">
        <v>15</v>
      </c>
      <c r="G34" s="296">
        <v>4.49</v>
      </c>
      <c r="H34" s="297">
        <f t="shared" si="1"/>
        <v>158919.06</v>
      </c>
      <c r="I34" s="298">
        <v>2</v>
      </c>
      <c r="J34" s="292">
        <v>17697</v>
      </c>
      <c r="K34" s="299">
        <v>0.1</v>
      </c>
      <c r="L34" s="300">
        <v>0</v>
      </c>
      <c r="M34" s="301">
        <f t="shared" si="2"/>
        <v>0</v>
      </c>
      <c r="N34" s="300">
        <v>1</v>
      </c>
      <c r="O34" s="301">
        <f t="shared" si="3"/>
        <v>9932.4412499999999</v>
      </c>
      <c r="P34" s="300">
        <v>0</v>
      </c>
      <c r="Q34" s="297">
        <f t="shared" si="4"/>
        <v>0</v>
      </c>
      <c r="R34" s="297">
        <f t="shared" si="5"/>
        <v>2483.1103125</v>
      </c>
      <c r="S34" s="297">
        <f t="shared" si="6"/>
        <v>12415.551562500001</v>
      </c>
      <c r="T34" s="297">
        <f t="shared" si="7"/>
        <v>1241.5551562500002</v>
      </c>
      <c r="U34" s="298"/>
      <c r="V34" s="302">
        <f t="shared" si="8"/>
        <v>0</v>
      </c>
      <c r="W34" s="298"/>
      <c r="X34" s="303">
        <f t="shared" si="9"/>
        <v>0</v>
      </c>
      <c r="Y34" s="292"/>
      <c r="Z34" s="297">
        <f t="shared" si="10"/>
        <v>0</v>
      </c>
      <c r="AA34" s="298"/>
      <c r="AB34" s="297">
        <f t="shared" si="11"/>
        <v>0</v>
      </c>
      <c r="AC34" s="304"/>
      <c r="AD34" s="298"/>
      <c r="AE34" s="297">
        <f t="shared" si="12"/>
        <v>3724.6654687499999</v>
      </c>
      <c r="AF34" s="298"/>
      <c r="AG34" s="303">
        <f t="shared" si="13"/>
        <v>0</v>
      </c>
      <c r="AH34" s="292"/>
      <c r="AI34" s="297"/>
      <c r="AJ34" s="297"/>
      <c r="AK34" s="297"/>
      <c r="AL34" s="298"/>
      <c r="AM34" s="297">
        <f t="shared" si="15"/>
        <v>17381.772187500002</v>
      </c>
      <c r="AN34" s="297">
        <f t="shared" si="16"/>
        <v>208581.26625000004</v>
      </c>
      <c r="AO34" s="241"/>
    </row>
    <row r="35" spans="1:41" s="227" customFormat="1" ht="19.5" customHeight="1" x14ac:dyDescent="0.2">
      <c r="A35" s="292">
        <v>19</v>
      </c>
      <c r="B35" s="293" t="s">
        <v>578</v>
      </c>
      <c r="C35" s="293" t="s">
        <v>579</v>
      </c>
      <c r="D35" s="294" t="s">
        <v>37</v>
      </c>
      <c r="E35" s="295" t="s">
        <v>175</v>
      </c>
      <c r="F35" s="295">
        <v>11.8</v>
      </c>
      <c r="G35" s="296">
        <v>4.38</v>
      </c>
      <c r="H35" s="297">
        <f t="shared" si="1"/>
        <v>155025.72</v>
      </c>
      <c r="I35" s="298">
        <v>2</v>
      </c>
      <c r="J35" s="292">
        <v>17697</v>
      </c>
      <c r="K35" s="299">
        <v>0.1</v>
      </c>
      <c r="L35" s="300">
        <v>2</v>
      </c>
      <c r="M35" s="301">
        <f t="shared" si="2"/>
        <v>19378.215</v>
      </c>
      <c r="N35" s="300">
        <v>0</v>
      </c>
      <c r="O35" s="301">
        <f t="shared" si="3"/>
        <v>0</v>
      </c>
      <c r="P35" s="300">
        <v>0</v>
      </c>
      <c r="Q35" s="297">
        <f t="shared" si="4"/>
        <v>0</v>
      </c>
      <c r="R35" s="297">
        <f t="shared" si="5"/>
        <v>4844.55375</v>
      </c>
      <c r="S35" s="297">
        <f t="shared" si="6"/>
        <v>24222.768749999999</v>
      </c>
      <c r="T35" s="297">
        <f t="shared" si="7"/>
        <v>2422.276875</v>
      </c>
      <c r="U35" s="298"/>
      <c r="V35" s="302">
        <f t="shared" si="8"/>
        <v>0</v>
      </c>
      <c r="W35" s="298"/>
      <c r="X35" s="303">
        <f t="shared" si="9"/>
        <v>0</v>
      </c>
      <c r="Y35" s="292"/>
      <c r="Z35" s="297">
        <f t="shared" si="10"/>
        <v>0</v>
      </c>
      <c r="AA35" s="298"/>
      <c r="AB35" s="297">
        <f t="shared" si="11"/>
        <v>0</v>
      </c>
      <c r="AC35" s="304"/>
      <c r="AD35" s="298"/>
      <c r="AE35" s="297">
        <f t="shared" si="12"/>
        <v>7266.8306249999996</v>
      </c>
      <c r="AF35" s="298"/>
      <c r="AG35" s="303">
        <f t="shared" si="13"/>
        <v>0</v>
      </c>
      <c r="AH35" s="292"/>
      <c r="AI35" s="297"/>
      <c r="AJ35" s="297"/>
      <c r="AK35" s="297"/>
      <c r="AL35" s="298"/>
      <c r="AM35" s="297">
        <f t="shared" si="15"/>
        <v>33911.876250000001</v>
      </c>
      <c r="AN35" s="297">
        <f t="shared" si="16"/>
        <v>406942.51500000001</v>
      </c>
      <c r="AO35" s="241"/>
    </row>
    <row r="36" spans="1:41" s="227" customFormat="1" ht="19.5" customHeight="1" x14ac:dyDescent="0.2">
      <c r="A36" s="292">
        <v>20</v>
      </c>
      <c r="B36" s="293" t="s">
        <v>518</v>
      </c>
      <c r="C36" s="293" t="s">
        <v>482</v>
      </c>
      <c r="D36" s="294" t="s">
        <v>37</v>
      </c>
      <c r="E36" s="295" t="s">
        <v>175</v>
      </c>
      <c r="F36" s="295">
        <v>6</v>
      </c>
      <c r="G36" s="296">
        <v>4.2699999999999996</v>
      </c>
      <c r="H36" s="297">
        <f t="shared" si="1"/>
        <v>151132.37999999998</v>
      </c>
      <c r="I36" s="298">
        <v>2</v>
      </c>
      <c r="J36" s="292">
        <v>17697</v>
      </c>
      <c r="K36" s="299">
        <v>0.2</v>
      </c>
      <c r="L36" s="300">
        <v>0</v>
      </c>
      <c r="M36" s="301">
        <f t="shared" si="2"/>
        <v>0</v>
      </c>
      <c r="N36" s="300">
        <v>0</v>
      </c>
      <c r="O36" s="301">
        <f t="shared" si="3"/>
        <v>0</v>
      </c>
      <c r="P36" s="300">
        <v>3</v>
      </c>
      <c r="Q36" s="297">
        <f t="shared" si="4"/>
        <v>28337.321249999994</v>
      </c>
      <c r="R36" s="297">
        <f t="shared" si="5"/>
        <v>7084.3303124999984</v>
      </c>
      <c r="S36" s="297">
        <f t="shared" si="6"/>
        <v>35421.651562499988</v>
      </c>
      <c r="T36" s="297">
        <f t="shared" si="7"/>
        <v>3542.1651562499992</v>
      </c>
      <c r="U36" s="298"/>
      <c r="V36" s="302">
        <f t="shared" si="8"/>
        <v>0</v>
      </c>
      <c r="W36" s="298"/>
      <c r="X36" s="303">
        <f t="shared" si="9"/>
        <v>0</v>
      </c>
      <c r="Y36" s="292"/>
      <c r="Z36" s="297">
        <f t="shared" si="10"/>
        <v>0</v>
      </c>
      <c r="AA36" s="298"/>
      <c r="AB36" s="297">
        <f t="shared" si="11"/>
        <v>0</v>
      </c>
      <c r="AC36" s="304"/>
      <c r="AD36" s="298"/>
      <c r="AE36" s="297">
        <f t="shared" si="12"/>
        <v>10626.495468749996</v>
      </c>
      <c r="AF36" s="298"/>
      <c r="AG36" s="303">
        <f t="shared" si="13"/>
        <v>0</v>
      </c>
      <c r="AH36" s="292"/>
      <c r="AI36" s="297"/>
      <c r="AJ36" s="297"/>
      <c r="AK36" s="297"/>
      <c r="AL36" s="298"/>
      <c r="AM36" s="297">
        <f t="shared" si="15"/>
        <v>49590.312187499978</v>
      </c>
      <c r="AN36" s="297">
        <f t="shared" si="16"/>
        <v>595083.74624999973</v>
      </c>
      <c r="AO36" s="241"/>
    </row>
    <row r="37" spans="1:41" s="227" customFormat="1" ht="19.5" customHeight="1" x14ac:dyDescent="0.2">
      <c r="A37" s="292">
        <v>21</v>
      </c>
      <c r="B37" s="293" t="s">
        <v>577</v>
      </c>
      <c r="C37" s="293" t="s">
        <v>566</v>
      </c>
      <c r="D37" s="294" t="s">
        <v>37</v>
      </c>
      <c r="E37" s="295" t="s">
        <v>177</v>
      </c>
      <c r="F37" s="295">
        <v>8</v>
      </c>
      <c r="G37" s="296">
        <v>4.74</v>
      </c>
      <c r="H37" s="297">
        <f t="shared" si="1"/>
        <v>167767.56</v>
      </c>
      <c r="I37" s="298">
        <v>2</v>
      </c>
      <c r="J37" s="292">
        <v>17697</v>
      </c>
      <c r="K37" s="299">
        <v>0.9</v>
      </c>
      <c r="L37" s="300">
        <v>12</v>
      </c>
      <c r="M37" s="301">
        <f t="shared" si="2"/>
        <v>125825.67</v>
      </c>
      <c r="N37" s="300">
        <v>3</v>
      </c>
      <c r="O37" s="301">
        <f t="shared" si="3"/>
        <v>31456.4175</v>
      </c>
      <c r="P37" s="300">
        <v>0</v>
      </c>
      <c r="Q37" s="297">
        <f t="shared" si="4"/>
        <v>0</v>
      </c>
      <c r="R37" s="297">
        <f t="shared" si="5"/>
        <v>39320.521874999999</v>
      </c>
      <c r="S37" s="297">
        <f t="shared" si="6"/>
        <v>196602.609375</v>
      </c>
      <c r="T37" s="297">
        <f t="shared" si="7"/>
        <v>19660.260937500003</v>
      </c>
      <c r="U37" s="298"/>
      <c r="V37" s="302">
        <f t="shared" si="8"/>
        <v>0</v>
      </c>
      <c r="W37" s="298"/>
      <c r="X37" s="303">
        <f t="shared" si="9"/>
        <v>0</v>
      </c>
      <c r="Y37" s="292"/>
      <c r="Z37" s="297">
        <f t="shared" si="10"/>
        <v>0</v>
      </c>
      <c r="AA37" s="298"/>
      <c r="AB37" s="297">
        <f t="shared" si="11"/>
        <v>0</v>
      </c>
      <c r="AC37" s="304"/>
      <c r="AD37" s="298"/>
      <c r="AE37" s="297">
        <f t="shared" si="12"/>
        <v>58980.782812499994</v>
      </c>
      <c r="AF37" s="298"/>
      <c r="AG37" s="303">
        <f t="shared" si="13"/>
        <v>0</v>
      </c>
      <c r="AH37" s="292"/>
      <c r="AI37" s="297">
        <f t="shared" si="14"/>
        <v>58980.782812499994</v>
      </c>
      <c r="AJ37" s="297"/>
      <c r="AK37" s="297"/>
      <c r="AL37" s="298"/>
      <c r="AM37" s="297">
        <f t="shared" si="15"/>
        <v>334224.43593749998</v>
      </c>
      <c r="AN37" s="297">
        <f t="shared" si="16"/>
        <v>4010693.2312499997</v>
      </c>
      <c r="AO37" s="241"/>
    </row>
    <row r="38" spans="1:41" s="227" customFormat="1" ht="19.5" customHeight="1" x14ac:dyDescent="0.2">
      <c r="A38" s="292">
        <v>22</v>
      </c>
      <c r="B38" s="293" t="s">
        <v>558</v>
      </c>
      <c r="C38" s="293" t="s">
        <v>475</v>
      </c>
      <c r="D38" s="294" t="s">
        <v>37</v>
      </c>
      <c r="E38" s="295" t="s">
        <v>174</v>
      </c>
      <c r="F38" s="295">
        <v>27.4</v>
      </c>
      <c r="G38" s="296">
        <v>5.41</v>
      </c>
      <c r="H38" s="297">
        <f t="shared" si="1"/>
        <v>191481.54</v>
      </c>
      <c r="I38" s="298">
        <v>2</v>
      </c>
      <c r="J38" s="292">
        <v>17697</v>
      </c>
      <c r="K38" s="299">
        <v>1.1000000000000001</v>
      </c>
      <c r="L38" s="300">
        <v>17</v>
      </c>
      <c r="M38" s="301">
        <f t="shared" si="2"/>
        <v>203449.13625000001</v>
      </c>
      <c r="N38" s="300">
        <v>0</v>
      </c>
      <c r="O38" s="301">
        <f t="shared" si="3"/>
        <v>0</v>
      </c>
      <c r="P38" s="300">
        <v>0</v>
      </c>
      <c r="Q38" s="297">
        <f t="shared" si="4"/>
        <v>0</v>
      </c>
      <c r="R38" s="297">
        <f t="shared" si="5"/>
        <v>50862.284062500003</v>
      </c>
      <c r="S38" s="297">
        <f t="shared" si="6"/>
        <v>254311.42031250001</v>
      </c>
      <c r="T38" s="297">
        <f t="shared" si="7"/>
        <v>25431.142031250001</v>
      </c>
      <c r="U38" s="298">
        <v>1</v>
      </c>
      <c r="V38" s="302">
        <f t="shared" si="8"/>
        <v>8848.5</v>
      </c>
      <c r="W38" s="298"/>
      <c r="X38" s="303">
        <f t="shared" si="9"/>
        <v>0</v>
      </c>
      <c r="Y38" s="292">
        <v>8</v>
      </c>
      <c r="Z38" s="297">
        <f t="shared" si="10"/>
        <v>3539.4</v>
      </c>
      <c r="AA38" s="298"/>
      <c r="AB38" s="297">
        <f t="shared" si="11"/>
        <v>0</v>
      </c>
      <c r="AC38" s="304"/>
      <c r="AD38" s="298"/>
      <c r="AE38" s="297">
        <f t="shared" si="12"/>
        <v>76293.426093749993</v>
      </c>
      <c r="AF38" s="298"/>
      <c r="AG38" s="303">
        <f t="shared" si="13"/>
        <v>0</v>
      </c>
      <c r="AH38" s="292"/>
      <c r="AI38" s="297"/>
      <c r="AJ38" s="297"/>
      <c r="AK38" s="297">
        <f t="shared" ref="AK38:AK41" si="23">S38*40%</f>
        <v>101724.56812500001</v>
      </c>
      <c r="AL38" s="298"/>
      <c r="AM38" s="297">
        <f t="shared" si="15"/>
        <v>470148.45656250004</v>
      </c>
      <c r="AN38" s="297">
        <f t="shared" si="16"/>
        <v>5641781.4787500007</v>
      </c>
      <c r="AO38" s="241"/>
    </row>
    <row r="39" spans="1:41" s="227" customFormat="1" ht="19.5" customHeight="1" x14ac:dyDescent="0.2">
      <c r="A39" s="292">
        <v>23</v>
      </c>
      <c r="B39" s="293" t="s">
        <v>559</v>
      </c>
      <c r="C39" s="293" t="s">
        <v>480</v>
      </c>
      <c r="D39" s="294" t="s">
        <v>37</v>
      </c>
      <c r="E39" s="295" t="s">
        <v>174</v>
      </c>
      <c r="F39" s="295">
        <v>29</v>
      </c>
      <c r="G39" s="296">
        <v>5.41</v>
      </c>
      <c r="H39" s="297">
        <f t="shared" si="1"/>
        <v>191481.54</v>
      </c>
      <c r="I39" s="298">
        <v>2</v>
      </c>
      <c r="J39" s="292">
        <v>17697</v>
      </c>
      <c r="K39" s="299">
        <v>1.3</v>
      </c>
      <c r="L39" s="300">
        <v>0</v>
      </c>
      <c r="M39" s="301">
        <f t="shared" si="2"/>
        <v>0</v>
      </c>
      <c r="N39" s="300">
        <v>9</v>
      </c>
      <c r="O39" s="301">
        <f t="shared" si="3"/>
        <v>107708.36625000001</v>
      </c>
      <c r="P39" s="300">
        <v>12</v>
      </c>
      <c r="Q39" s="297">
        <f t="shared" si="4"/>
        <v>143611.155</v>
      </c>
      <c r="R39" s="297">
        <f t="shared" si="5"/>
        <v>62829.880312499998</v>
      </c>
      <c r="S39" s="297">
        <f t="shared" si="6"/>
        <v>314149.40156249999</v>
      </c>
      <c r="T39" s="297">
        <f t="shared" si="7"/>
        <v>31414.940156249999</v>
      </c>
      <c r="U39" s="298"/>
      <c r="V39" s="302">
        <f t="shared" si="8"/>
        <v>0</v>
      </c>
      <c r="W39" s="298">
        <v>1</v>
      </c>
      <c r="X39" s="303">
        <f t="shared" si="9"/>
        <v>10618.199999999999</v>
      </c>
      <c r="Y39" s="292">
        <v>21</v>
      </c>
      <c r="Z39" s="297">
        <f t="shared" si="10"/>
        <v>9290.9250000000011</v>
      </c>
      <c r="AA39" s="298"/>
      <c r="AB39" s="297">
        <f t="shared" si="11"/>
        <v>0</v>
      </c>
      <c r="AC39" s="304"/>
      <c r="AD39" s="298"/>
      <c r="AE39" s="297">
        <f t="shared" si="12"/>
        <v>94244.820468749997</v>
      </c>
      <c r="AF39" s="298"/>
      <c r="AG39" s="303">
        <f t="shared" si="13"/>
        <v>0</v>
      </c>
      <c r="AH39" s="292"/>
      <c r="AI39" s="297"/>
      <c r="AJ39" s="297"/>
      <c r="AK39" s="297">
        <f t="shared" si="23"/>
        <v>125659.760625</v>
      </c>
      <c r="AL39" s="298"/>
      <c r="AM39" s="297">
        <f t="shared" si="15"/>
        <v>585378.04781249992</v>
      </c>
      <c r="AN39" s="297">
        <f t="shared" si="16"/>
        <v>7024536.5737499986</v>
      </c>
      <c r="AO39" s="241"/>
    </row>
    <row r="40" spans="1:41" s="227" customFormat="1" ht="19.5" customHeight="1" x14ac:dyDescent="0.2">
      <c r="A40" s="292">
        <v>24</v>
      </c>
      <c r="B40" s="293" t="s">
        <v>560</v>
      </c>
      <c r="C40" s="293" t="s">
        <v>481</v>
      </c>
      <c r="D40" s="294" t="s">
        <v>37</v>
      </c>
      <c r="E40" s="295" t="s">
        <v>178</v>
      </c>
      <c r="F40" s="295">
        <v>12.6</v>
      </c>
      <c r="G40" s="296">
        <v>4.8600000000000003</v>
      </c>
      <c r="H40" s="297">
        <f t="shared" si="1"/>
        <v>172014.84000000003</v>
      </c>
      <c r="I40" s="298">
        <v>2</v>
      </c>
      <c r="J40" s="292">
        <v>17697</v>
      </c>
      <c r="K40" s="299">
        <v>1</v>
      </c>
      <c r="L40" s="300">
        <v>0</v>
      </c>
      <c r="M40" s="301">
        <f t="shared" si="2"/>
        <v>0</v>
      </c>
      <c r="N40" s="300">
        <v>9</v>
      </c>
      <c r="O40" s="301">
        <f t="shared" si="3"/>
        <v>96758.347500000018</v>
      </c>
      <c r="P40" s="300">
        <v>7</v>
      </c>
      <c r="Q40" s="297">
        <f t="shared" si="4"/>
        <v>75256.492500000008</v>
      </c>
      <c r="R40" s="297">
        <f t="shared" si="5"/>
        <v>43003.710000000006</v>
      </c>
      <c r="S40" s="297">
        <f t="shared" si="6"/>
        <v>215018.55000000005</v>
      </c>
      <c r="T40" s="297">
        <f t="shared" si="7"/>
        <v>21501.855000000007</v>
      </c>
      <c r="U40" s="298"/>
      <c r="V40" s="302">
        <f t="shared" si="8"/>
        <v>0</v>
      </c>
      <c r="W40" s="298">
        <v>0.5</v>
      </c>
      <c r="X40" s="303">
        <f t="shared" si="9"/>
        <v>5309.0999999999995</v>
      </c>
      <c r="Y40" s="292"/>
      <c r="Z40" s="297">
        <f t="shared" si="10"/>
        <v>0</v>
      </c>
      <c r="AA40" s="298"/>
      <c r="AB40" s="297">
        <f t="shared" si="11"/>
        <v>0</v>
      </c>
      <c r="AC40" s="304"/>
      <c r="AD40" s="298"/>
      <c r="AE40" s="297">
        <f t="shared" si="12"/>
        <v>64505.56500000001</v>
      </c>
      <c r="AF40" s="298"/>
      <c r="AG40" s="303">
        <f t="shared" si="13"/>
        <v>0</v>
      </c>
      <c r="AH40" s="292"/>
      <c r="AI40" s="297"/>
      <c r="AJ40" s="297">
        <f t="shared" ref="AJ40:AJ42" si="24">S40*35%</f>
        <v>75256.492500000008</v>
      </c>
      <c r="AK40" s="297"/>
      <c r="AL40" s="298"/>
      <c r="AM40" s="297">
        <f t="shared" si="15"/>
        <v>381591.56250000006</v>
      </c>
      <c r="AN40" s="297">
        <f t="shared" si="16"/>
        <v>4579098.7500000009</v>
      </c>
      <c r="AO40" s="241"/>
    </row>
    <row r="41" spans="1:41" s="227" customFormat="1" ht="19.5" customHeight="1" x14ac:dyDescent="0.2">
      <c r="A41" s="292">
        <v>25</v>
      </c>
      <c r="B41" s="293" t="s">
        <v>561</v>
      </c>
      <c r="C41" s="293" t="s">
        <v>567</v>
      </c>
      <c r="D41" s="294" t="s">
        <v>37</v>
      </c>
      <c r="E41" s="295" t="s">
        <v>174</v>
      </c>
      <c r="F41" s="295">
        <v>31</v>
      </c>
      <c r="G41" s="296">
        <v>5.41</v>
      </c>
      <c r="H41" s="297">
        <f t="shared" si="1"/>
        <v>191481.54</v>
      </c>
      <c r="I41" s="298">
        <v>2</v>
      </c>
      <c r="J41" s="292">
        <v>17697</v>
      </c>
      <c r="K41" s="299">
        <f t="shared" ref="K41" si="25">SUM(L41+N41+P41)/16</f>
        <v>1</v>
      </c>
      <c r="L41" s="300">
        <v>0</v>
      </c>
      <c r="M41" s="301">
        <f t="shared" si="2"/>
        <v>0</v>
      </c>
      <c r="N41" s="300">
        <v>15</v>
      </c>
      <c r="O41" s="301">
        <f t="shared" si="3"/>
        <v>179513.94375000001</v>
      </c>
      <c r="P41" s="300">
        <v>1</v>
      </c>
      <c r="Q41" s="297">
        <f t="shared" si="4"/>
        <v>11967.596250000001</v>
      </c>
      <c r="R41" s="297">
        <f t="shared" si="5"/>
        <v>47870.385000000002</v>
      </c>
      <c r="S41" s="297">
        <f t="shared" si="6"/>
        <v>239351.92500000002</v>
      </c>
      <c r="T41" s="297">
        <f t="shared" si="7"/>
        <v>23935.192500000005</v>
      </c>
      <c r="U41" s="298"/>
      <c r="V41" s="302">
        <f t="shared" si="8"/>
        <v>0</v>
      </c>
      <c r="W41" s="298"/>
      <c r="X41" s="303">
        <f t="shared" si="9"/>
        <v>0</v>
      </c>
      <c r="Y41" s="292"/>
      <c r="Z41" s="297">
        <f t="shared" si="10"/>
        <v>0</v>
      </c>
      <c r="AA41" s="298">
        <v>8</v>
      </c>
      <c r="AB41" s="297">
        <f t="shared" si="11"/>
        <v>4424.25</v>
      </c>
      <c r="AC41" s="304"/>
      <c r="AD41" s="298"/>
      <c r="AE41" s="297">
        <f t="shared" si="12"/>
        <v>71805.577499999999</v>
      </c>
      <c r="AF41" s="298"/>
      <c r="AG41" s="303">
        <f t="shared" si="13"/>
        <v>0</v>
      </c>
      <c r="AH41" s="292"/>
      <c r="AI41" s="297"/>
      <c r="AJ41" s="297"/>
      <c r="AK41" s="297">
        <f t="shared" si="23"/>
        <v>95740.770000000019</v>
      </c>
      <c r="AL41" s="298"/>
      <c r="AM41" s="297">
        <f t="shared" si="15"/>
        <v>435257.71500000008</v>
      </c>
      <c r="AN41" s="297">
        <f t="shared" si="16"/>
        <v>5223092.580000001</v>
      </c>
      <c r="AO41" s="241"/>
    </row>
    <row r="42" spans="1:41" s="227" customFormat="1" ht="19.5" customHeight="1" x14ac:dyDescent="0.2">
      <c r="A42" s="292">
        <v>26</v>
      </c>
      <c r="B42" s="293" t="s">
        <v>510</v>
      </c>
      <c r="C42" s="293" t="s">
        <v>476</v>
      </c>
      <c r="D42" s="294" t="s">
        <v>37</v>
      </c>
      <c r="E42" s="295" t="s">
        <v>178</v>
      </c>
      <c r="F42" s="295">
        <v>10</v>
      </c>
      <c r="G42" s="296">
        <v>4.8600000000000003</v>
      </c>
      <c r="H42" s="297">
        <f t="shared" si="1"/>
        <v>172014.84000000003</v>
      </c>
      <c r="I42" s="298">
        <v>2</v>
      </c>
      <c r="J42" s="292">
        <v>17697</v>
      </c>
      <c r="K42" s="299">
        <v>0.5</v>
      </c>
      <c r="L42" s="300">
        <v>0</v>
      </c>
      <c r="M42" s="301">
        <f t="shared" si="2"/>
        <v>0</v>
      </c>
      <c r="N42" s="300">
        <v>4</v>
      </c>
      <c r="O42" s="301">
        <f t="shared" si="3"/>
        <v>43003.710000000006</v>
      </c>
      <c r="P42" s="300">
        <v>4</v>
      </c>
      <c r="Q42" s="297">
        <f t="shared" si="4"/>
        <v>43003.710000000006</v>
      </c>
      <c r="R42" s="297">
        <f t="shared" si="5"/>
        <v>21501.855000000003</v>
      </c>
      <c r="S42" s="297">
        <f t="shared" si="6"/>
        <v>107509.27500000002</v>
      </c>
      <c r="T42" s="297">
        <f t="shared" si="7"/>
        <v>10750.927500000003</v>
      </c>
      <c r="U42" s="298"/>
      <c r="V42" s="302">
        <f t="shared" si="8"/>
        <v>0</v>
      </c>
      <c r="W42" s="298"/>
      <c r="X42" s="303">
        <f t="shared" si="9"/>
        <v>0</v>
      </c>
      <c r="Y42" s="292"/>
      <c r="Z42" s="297">
        <f t="shared" si="10"/>
        <v>0</v>
      </c>
      <c r="AA42" s="298"/>
      <c r="AB42" s="297">
        <f t="shared" si="11"/>
        <v>0</v>
      </c>
      <c r="AC42" s="304">
        <v>36920</v>
      </c>
      <c r="AD42" s="298">
        <v>17697</v>
      </c>
      <c r="AE42" s="297">
        <f t="shared" si="12"/>
        <v>32252.782500000005</v>
      </c>
      <c r="AF42" s="298"/>
      <c r="AG42" s="303">
        <f t="shared" si="13"/>
        <v>0</v>
      </c>
      <c r="AH42" s="292"/>
      <c r="AI42" s="297"/>
      <c r="AJ42" s="297">
        <f t="shared" si="24"/>
        <v>37628.246250000004</v>
      </c>
      <c r="AK42" s="297"/>
      <c r="AL42" s="298"/>
      <c r="AM42" s="297">
        <f t="shared" si="15"/>
        <v>242758.23125000001</v>
      </c>
      <c r="AN42" s="297">
        <f t="shared" si="16"/>
        <v>2913098.7750000004</v>
      </c>
      <c r="AO42" s="241"/>
    </row>
    <row r="43" spans="1:41" s="227" customFormat="1" ht="19.5" customHeight="1" x14ac:dyDescent="0.2">
      <c r="A43" s="292">
        <v>27</v>
      </c>
      <c r="B43" s="293" t="s">
        <v>598</v>
      </c>
      <c r="C43" s="293" t="s">
        <v>474</v>
      </c>
      <c r="D43" s="294" t="s">
        <v>37</v>
      </c>
      <c r="E43" s="295" t="s">
        <v>175</v>
      </c>
      <c r="F43" s="295">
        <v>2</v>
      </c>
      <c r="G43" s="296">
        <v>4.1900000000000004</v>
      </c>
      <c r="H43" s="297">
        <f t="shared" si="1"/>
        <v>148300.86000000002</v>
      </c>
      <c r="I43" s="298">
        <v>2</v>
      </c>
      <c r="J43" s="292">
        <v>17697</v>
      </c>
      <c r="K43" s="299">
        <v>1.4</v>
      </c>
      <c r="L43" s="300">
        <v>4</v>
      </c>
      <c r="M43" s="301">
        <f t="shared" si="2"/>
        <v>37075.215000000004</v>
      </c>
      <c r="N43" s="300">
        <v>12</v>
      </c>
      <c r="O43" s="301">
        <f t="shared" si="3"/>
        <v>111225.64500000002</v>
      </c>
      <c r="P43" s="300">
        <v>6</v>
      </c>
      <c r="Q43" s="297">
        <f t="shared" si="4"/>
        <v>55612.822500000009</v>
      </c>
      <c r="R43" s="297">
        <f t="shared" si="5"/>
        <v>50978.420625000006</v>
      </c>
      <c r="S43" s="297">
        <f t="shared" si="6"/>
        <v>254892.10312500002</v>
      </c>
      <c r="T43" s="297">
        <f t="shared" si="7"/>
        <v>25489.210312500003</v>
      </c>
      <c r="U43" s="298"/>
      <c r="V43" s="302">
        <f t="shared" si="8"/>
        <v>0</v>
      </c>
      <c r="W43" s="298"/>
      <c r="X43" s="303">
        <f t="shared" si="9"/>
        <v>0</v>
      </c>
      <c r="Y43" s="292">
        <v>4</v>
      </c>
      <c r="Z43" s="297">
        <f t="shared" si="10"/>
        <v>1769.7</v>
      </c>
      <c r="AA43" s="298">
        <v>18</v>
      </c>
      <c r="AB43" s="297">
        <f t="shared" si="11"/>
        <v>9954.5625</v>
      </c>
      <c r="AC43" s="304"/>
      <c r="AD43" s="298"/>
      <c r="AE43" s="297">
        <f t="shared" si="12"/>
        <v>76467.630937499998</v>
      </c>
      <c r="AF43" s="298"/>
      <c r="AG43" s="303">
        <f t="shared" si="13"/>
        <v>0</v>
      </c>
      <c r="AH43" s="292"/>
      <c r="AI43" s="297"/>
      <c r="AJ43" s="297"/>
      <c r="AK43" s="297"/>
      <c r="AL43" s="298"/>
      <c r="AM43" s="297">
        <f t="shared" si="15"/>
        <v>368573.20687500003</v>
      </c>
      <c r="AN43" s="297">
        <f t="shared" si="16"/>
        <v>4422878.4824999999</v>
      </c>
      <c r="AO43" s="241"/>
    </row>
    <row r="44" spans="1:41" s="244" customFormat="1" ht="18.75" customHeight="1" x14ac:dyDescent="0.2">
      <c r="A44" s="322">
        <v>28</v>
      </c>
      <c r="B44" s="293" t="s">
        <v>597</v>
      </c>
      <c r="C44" s="293" t="s">
        <v>487</v>
      </c>
      <c r="D44" s="294" t="s">
        <v>37</v>
      </c>
      <c r="E44" s="295" t="s">
        <v>175</v>
      </c>
      <c r="F44" s="295">
        <v>16</v>
      </c>
      <c r="G44" s="296">
        <v>4.59</v>
      </c>
      <c r="H44" s="297">
        <f t="shared" si="1"/>
        <v>162458.46</v>
      </c>
      <c r="I44" s="298">
        <v>2</v>
      </c>
      <c r="J44" s="292">
        <v>17697</v>
      </c>
      <c r="K44" s="299">
        <v>0.125</v>
      </c>
      <c r="L44" s="300">
        <v>0</v>
      </c>
      <c r="M44" s="301">
        <f t="shared" si="2"/>
        <v>0</v>
      </c>
      <c r="N44" s="300">
        <v>2</v>
      </c>
      <c r="O44" s="301">
        <f t="shared" si="3"/>
        <v>20307.307499999999</v>
      </c>
      <c r="P44" s="300">
        <v>0</v>
      </c>
      <c r="Q44" s="297">
        <f t="shared" si="4"/>
        <v>0</v>
      </c>
      <c r="R44" s="297">
        <f t="shared" si="5"/>
        <v>5076.8268749999997</v>
      </c>
      <c r="S44" s="297">
        <f t="shared" si="6"/>
        <v>25384.134374999998</v>
      </c>
      <c r="T44" s="297">
        <f t="shared" si="7"/>
        <v>2538.4134374999999</v>
      </c>
      <c r="U44" s="298"/>
      <c r="V44" s="302">
        <f t="shared" si="8"/>
        <v>0</v>
      </c>
      <c r="W44" s="298"/>
      <c r="X44" s="303">
        <f t="shared" si="9"/>
        <v>0</v>
      </c>
      <c r="Y44" s="292"/>
      <c r="Z44" s="297">
        <f t="shared" si="10"/>
        <v>0</v>
      </c>
      <c r="AA44" s="298"/>
      <c r="AB44" s="297">
        <f t="shared" si="11"/>
        <v>0</v>
      </c>
      <c r="AC44" s="304"/>
      <c r="AD44" s="298"/>
      <c r="AE44" s="297">
        <f t="shared" si="12"/>
        <v>7615.2403124999992</v>
      </c>
      <c r="AF44" s="298"/>
      <c r="AG44" s="303">
        <f t="shared" si="13"/>
        <v>0</v>
      </c>
      <c r="AH44" s="292"/>
      <c r="AI44" s="297"/>
      <c r="AJ44" s="297"/>
      <c r="AK44" s="297"/>
      <c r="AL44" s="298"/>
      <c r="AM44" s="297">
        <f t="shared" si="15"/>
        <v>35537.788124999999</v>
      </c>
      <c r="AN44" s="297">
        <f t="shared" si="16"/>
        <v>426453.45750000002</v>
      </c>
    </row>
    <row r="47" spans="1:41" ht="20.25" x14ac:dyDescent="0.3">
      <c r="AC47" s="281" t="s">
        <v>502</v>
      </c>
      <c r="AD47" s="282"/>
      <c r="AE47" s="283"/>
      <c r="AF47" s="225"/>
      <c r="AG47" s="225"/>
      <c r="AH47" s="170"/>
      <c r="AI47" s="175"/>
      <c r="AJ47" s="245"/>
    </row>
    <row r="48" spans="1:41" ht="15.75" x14ac:dyDescent="0.2">
      <c r="AC48" s="244"/>
      <c r="AD48" s="282"/>
      <c r="AE48" s="283"/>
      <c r="AF48" s="225"/>
      <c r="AG48" s="285"/>
      <c r="AH48" s="170"/>
      <c r="AI48" s="175"/>
      <c r="AJ48" s="245"/>
    </row>
    <row r="49" spans="29:36" ht="20.25" x14ac:dyDescent="0.3">
      <c r="AC49" s="281" t="s">
        <v>587</v>
      </c>
      <c r="AD49" s="282"/>
      <c r="AE49" s="283"/>
      <c r="AF49" s="225"/>
      <c r="AG49" s="225"/>
      <c r="AH49" s="170"/>
      <c r="AI49" s="175"/>
      <c r="AJ49" s="245"/>
    </row>
    <row r="50" spans="29:36" ht="15.75" x14ac:dyDescent="0.25">
      <c r="AC50" s="243"/>
      <c r="AD50" s="282"/>
      <c r="AE50" s="283"/>
      <c r="AF50" s="225"/>
      <c r="AG50" s="225"/>
      <c r="AH50" s="18"/>
      <c r="AI50" s="36"/>
      <c r="AJ50" s="228"/>
    </row>
    <row r="51" spans="29:36" ht="20.25" x14ac:dyDescent="0.3">
      <c r="AC51" s="281" t="s">
        <v>574</v>
      </c>
      <c r="AD51" s="282"/>
      <c r="AE51" s="283"/>
      <c r="AF51" s="225"/>
      <c r="AG51" s="225"/>
      <c r="AH51" s="18"/>
      <c r="AI51" s="36"/>
      <c r="AJ51" s="228"/>
    </row>
    <row r="52" spans="29:36" ht="15.75" x14ac:dyDescent="0.25">
      <c r="AC52" s="227"/>
      <c r="AD52" s="282"/>
      <c r="AE52" s="283"/>
      <c r="AF52" s="225"/>
      <c r="AG52" s="225"/>
      <c r="AH52" s="18"/>
      <c r="AI52" s="36"/>
      <c r="AJ52" s="228"/>
    </row>
    <row r="53" spans="29:36" ht="20.25" x14ac:dyDescent="0.3">
      <c r="AC53" s="281" t="s">
        <v>545</v>
      </c>
      <c r="AD53" s="226"/>
      <c r="AE53" s="247"/>
      <c r="AF53" s="226"/>
      <c r="AG53" s="2"/>
      <c r="AH53" s="42"/>
      <c r="AI53" s="35"/>
      <c r="AJ53" s="226"/>
    </row>
    <row r="54" spans="29:36" x14ac:dyDescent="0.2">
      <c r="AC54" s="227"/>
      <c r="AD54" s="227"/>
      <c r="AE54" s="227"/>
      <c r="AF54" s="227"/>
      <c r="AG54" s="227"/>
      <c r="AH54" s="227"/>
      <c r="AI54" s="227"/>
      <c r="AJ54" s="227"/>
    </row>
  </sheetData>
  <mergeCells count="35">
    <mergeCell ref="A9:S9"/>
    <mergeCell ref="AF10:AM10"/>
    <mergeCell ref="A11:A13"/>
    <mergeCell ref="B11:B13"/>
    <mergeCell ref="C11:C13"/>
    <mergeCell ref="D11:D13"/>
    <mergeCell ref="E11:E13"/>
    <mergeCell ref="F11:F13"/>
    <mergeCell ref="G11:G13"/>
    <mergeCell ref="H11:H13"/>
    <mergeCell ref="AM11:AM13"/>
    <mergeCell ref="AN11:AN13"/>
    <mergeCell ref="U12:V12"/>
    <mergeCell ref="W12:X12"/>
    <mergeCell ref="AI12:AI13"/>
    <mergeCell ref="AJ12:AJ13"/>
    <mergeCell ref="AK12:AK13"/>
    <mergeCell ref="U11:X11"/>
    <mergeCell ref="Y11:AB12"/>
    <mergeCell ref="AC11:AC13"/>
    <mergeCell ref="AD11:AD13"/>
    <mergeCell ref="AE11:AE13"/>
    <mergeCell ref="AL12:AL13"/>
    <mergeCell ref="A23:A24"/>
    <mergeCell ref="A33:A34"/>
    <mergeCell ref="AF11:AG12"/>
    <mergeCell ref="AH11:AH13"/>
    <mergeCell ref="AI11:AL11"/>
    <mergeCell ref="T11:T13"/>
    <mergeCell ref="I11:I13"/>
    <mergeCell ref="J11:J13"/>
    <mergeCell ref="K11:K13"/>
    <mergeCell ref="L11:Q12"/>
    <mergeCell ref="R11:R13"/>
    <mergeCell ref="S11:S13"/>
  </mergeCells>
  <pageMargins left="0.19685039370078741" right="0.31496062992125984" top="0.19685039370078741" bottom="0.15748031496062992" header="0.31496062992125984" footer="0.31496062992125984"/>
  <pageSetup paperSize="9" scale="5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6BF9-457D-4AD8-9525-4BAFC740C9D0}">
  <dimension ref="A1:AO54"/>
  <sheetViews>
    <sheetView tabSelected="1" topLeftCell="Q10" workbookViewId="0">
      <selection activeCell="V42" sqref="V42"/>
    </sheetView>
  </sheetViews>
  <sheetFormatPr defaultColWidth="16.42578125" defaultRowHeight="12" x14ac:dyDescent="0.2"/>
  <cols>
    <col min="1" max="1" width="7.28515625" style="493" customWidth="1"/>
    <col min="2" max="2" width="40.85546875" style="493" customWidth="1"/>
    <col min="3" max="3" width="16.42578125" style="493"/>
    <col min="4" max="4" width="10" style="493" customWidth="1"/>
    <col min="5" max="5" width="12.5703125" style="493" customWidth="1"/>
    <col min="6" max="6" width="9.140625" style="494" customWidth="1"/>
    <col min="7" max="7" width="8.42578125" style="495" customWidth="1"/>
    <col min="8" max="8" width="11.28515625" style="496" customWidth="1"/>
    <col min="9" max="9" width="11" style="497" customWidth="1"/>
    <col min="10" max="10" width="11.7109375" style="496" customWidth="1"/>
    <col min="11" max="11" width="10" style="493" customWidth="1"/>
    <col min="12" max="12" width="9.7109375" style="493" customWidth="1"/>
    <col min="13" max="13" width="15.85546875" style="496" customWidth="1"/>
    <col min="14" max="14" width="8.140625" style="493" customWidth="1"/>
    <col min="15" max="15" width="15.85546875" style="496" customWidth="1"/>
    <col min="16" max="16" width="9.140625" style="493" customWidth="1"/>
    <col min="17" max="17" width="15.140625" style="496" customWidth="1"/>
    <col min="18" max="18" width="16.42578125" style="493"/>
    <col min="19" max="19" width="21.140625" style="496" customWidth="1"/>
    <col min="20" max="20" width="16.42578125" style="493"/>
    <col min="21" max="21" width="7" style="493" customWidth="1"/>
    <col min="22" max="22" width="11.140625" style="496" customWidth="1"/>
    <col min="23" max="23" width="7.28515625" style="498" customWidth="1"/>
    <col min="24" max="24" width="10.7109375" style="496" customWidth="1"/>
    <col min="25" max="25" width="8" style="499" customWidth="1"/>
    <col min="26" max="26" width="10.42578125" style="500" customWidth="1"/>
    <col min="27" max="27" width="8.7109375" style="501" customWidth="1"/>
    <col min="28" max="28" width="12.5703125" style="496" customWidth="1"/>
    <col min="29" max="29" width="13.28515625" style="496" customWidth="1"/>
    <col min="30" max="30" width="11" style="496" customWidth="1"/>
    <col min="31" max="31" width="16.42578125" style="493"/>
    <col min="32" max="32" width="9.140625" style="493" customWidth="1"/>
    <col min="33" max="33" width="12.5703125" style="493" customWidth="1"/>
    <col min="34" max="37" width="16.42578125" style="493"/>
    <col min="38" max="38" width="8.85546875" style="493" customWidth="1"/>
    <col min="39" max="40" width="16.42578125" style="496"/>
    <col min="41" max="16384" width="16.42578125" style="493"/>
  </cols>
  <sheetData>
    <row r="1" spans="1:41" s="410" customFormat="1" ht="3.75" customHeight="1" x14ac:dyDescent="0.2">
      <c r="A1" s="404"/>
      <c r="B1" s="405"/>
      <c r="C1" s="404"/>
      <c r="D1" s="406"/>
      <c r="E1" s="406"/>
      <c r="F1" s="406"/>
      <c r="G1" s="407"/>
      <c r="H1" s="408"/>
      <c r="I1" s="409"/>
      <c r="J1" s="406"/>
      <c r="K1" s="405"/>
      <c r="L1" s="405"/>
      <c r="M1" s="405"/>
      <c r="N1" s="405"/>
      <c r="O1" s="405"/>
      <c r="P1" s="405"/>
      <c r="Q1" s="405"/>
      <c r="R1" s="405"/>
      <c r="S1" s="405"/>
      <c r="T1" s="405"/>
      <c r="Y1" s="411"/>
      <c r="Z1" s="411"/>
      <c r="AA1" s="411"/>
      <c r="AF1" s="412"/>
      <c r="AG1" s="412"/>
      <c r="AH1" s="412"/>
      <c r="AI1" s="412"/>
      <c r="AJ1" s="412"/>
      <c r="AK1" s="412"/>
      <c r="AL1" s="412"/>
      <c r="AM1" s="413"/>
      <c r="AN1" s="413"/>
    </row>
    <row r="2" spans="1:41" s="410" customFormat="1" ht="3.75" customHeight="1" x14ac:dyDescent="0.2">
      <c r="A2" s="404"/>
      <c r="B2" s="405"/>
      <c r="C2" s="404"/>
      <c r="D2" s="406"/>
      <c r="E2" s="406"/>
      <c r="F2" s="406"/>
      <c r="G2" s="407"/>
      <c r="H2" s="408"/>
      <c r="I2" s="409"/>
      <c r="J2" s="406"/>
      <c r="K2" s="405"/>
      <c r="L2" s="405"/>
      <c r="M2" s="405"/>
      <c r="N2" s="405"/>
      <c r="O2" s="405"/>
      <c r="P2" s="405"/>
      <c r="Q2" s="405"/>
      <c r="R2" s="405"/>
      <c r="S2" s="405"/>
      <c r="T2" s="405"/>
      <c r="Y2" s="411"/>
      <c r="Z2" s="411"/>
      <c r="AA2" s="411"/>
      <c r="AF2" s="412"/>
      <c r="AG2" s="412"/>
      <c r="AH2" s="412"/>
      <c r="AI2" s="412"/>
      <c r="AJ2" s="412"/>
      <c r="AK2" s="412"/>
      <c r="AL2" s="412"/>
      <c r="AM2" s="413"/>
      <c r="AN2" s="413"/>
    </row>
    <row r="3" spans="1:41" s="410" customFormat="1" ht="17.25" customHeight="1" x14ac:dyDescent="0.2">
      <c r="A3" s="414" t="s">
        <v>499</v>
      </c>
      <c r="E3" s="413"/>
      <c r="F3" s="413"/>
      <c r="H3" s="415"/>
      <c r="K3" s="413"/>
      <c r="L3" s="413"/>
      <c r="M3" s="413"/>
      <c r="N3" s="413"/>
      <c r="O3" s="413"/>
      <c r="P3" s="414" t="s">
        <v>489</v>
      </c>
      <c r="T3" s="413"/>
      <c r="AA3" s="411"/>
      <c r="AF3" s="412"/>
      <c r="AG3" s="412"/>
      <c r="AH3" s="412"/>
      <c r="AI3" s="412"/>
      <c r="AJ3" s="412"/>
      <c r="AK3" s="412"/>
      <c r="AL3" s="412"/>
      <c r="AM3" s="413"/>
      <c r="AN3" s="413"/>
    </row>
    <row r="4" spans="1:41" s="410" customFormat="1" ht="17.25" customHeight="1" x14ac:dyDescent="0.2">
      <c r="A4" s="405" t="s">
        <v>490</v>
      </c>
      <c r="E4" s="413"/>
      <c r="F4" s="413"/>
      <c r="H4" s="415"/>
      <c r="K4" s="413"/>
      <c r="L4" s="413"/>
      <c r="M4" s="413"/>
      <c r="N4" s="413"/>
      <c r="O4" s="413"/>
      <c r="P4" s="405" t="s">
        <v>490</v>
      </c>
      <c r="T4" s="413"/>
      <c r="AA4" s="411"/>
      <c r="AF4" s="412"/>
      <c r="AG4" s="412"/>
      <c r="AH4" s="412"/>
      <c r="AI4" s="412"/>
      <c r="AJ4" s="412"/>
      <c r="AK4" s="412"/>
      <c r="AL4" s="412"/>
      <c r="AM4" s="413"/>
      <c r="AN4" s="413"/>
    </row>
    <row r="5" spans="1:41" s="410" customFormat="1" ht="17.25" customHeight="1" x14ac:dyDescent="0.2">
      <c r="A5" s="414" t="s">
        <v>581</v>
      </c>
      <c r="E5" s="413"/>
      <c r="F5" s="413"/>
      <c r="H5" s="415"/>
      <c r="K5" s="413"/>
      <c r="L5" s="413"/>
      <c r="M5" s="413"/>
      <c r="N5" s="413"/>
      <c r="O5" s="413"/>
      <c r="P5" s="414" t="s">
        <v>581</v>
      </c>
      <c r="T5" s="413"/>
      <c r="AA5" s="411"/>
      <c r="AF5" s="412"/>
      <c r="AG5" s="412"/>
      <c r="AH5" s="412"/>
      <c r="AI5" s="412"/>
      <c r="AJ5" s="412"/>
      <c r="AK5" s="412"/>
      <c r="AL5" s="412"/>
      <c r="AM5" s="413"/>
      <c r="AN5" s="413"/>
    </row>
    <row r="6" spans="1:41" s="410" customFormat="1" ht="17.25" customHeight="1" x14ac:dyDescent="0.2">
      <c r="A6" s="414" t="s">
        <v>596</v>
      </c>
      <c r="E6" s="413"/>
      <c r="F6" s="413"/>
      <c r="H6" s="415"/>
      <c r="K6" s="413"/>
      <c r="L6" s="413"/>
      <c r="M6" s="413"/>
      <c r="N6" s="413"/>
      <c r="O6" s="413"/>
      <c r="P6" s="414" t="s">
        <v>582</v>
      </c>
      <c r="T6" s="413"/>
      <c r="AA6" s="411"/>
      <c r="AF6" s="412"/>
      <c r="AG6" s="412"/>
      <c r="AH6" s="412"/>
      <c r="AI6" s="412"/>
      <c r="AJ6" s="412"/>
      <c r="AK6" s="412"/>
      <c r="AL6" s="412"/>
      <c r="AM6" s="413"/>
      <c r="AN6" s="413"/>
    </row>
    <row r="7" spans="1:41" s="410" customFormat="1" ht="17.25" customHeight="1" x14ac:dyDescent="0.2">
      <c r="A7" s="414" t="s">
        <v>573</v>
      </c>
      <c r="E7" s="413"/>
      <c r="F7" s="413"/>
      <c r="H7" s="415"/>
      <c r="K7" s="413"/>
      <c r="L7" s="413"/>
      <c r="M7" s="413"/>
      <c r="N7" s="413"/>
      <c r="O7" s="413"/>
      <c r="P7" s="414" t="s">
        <v>544</v>
      </c>
      <c r="T7" s="413"/>
      <c r="AA7" s="411"/>
      <c r="AF7" s="412"/>
      <c r="AG7" s="412"/>
      <c r="AH7" s="412"/>
      <c r="AI7" s="412"/>
      <c r="AJ7" s="412"/>
      <c r="AK7" s="412"/>
      <c r="AL7" s="412"/>
      <c r="AM7" s="413"/>
      <c r="AN7" s="413"/>
    </row>
    <row r="8" spans="1:41" s="410" customFormat="1" ht="3" customHeight="1" x14ac:dyDescent="0.2">
      <c r="A8" s="404"/>
      <c r="B8" s="405"/>
      <c r="C8" s="404"/>
      <c r="D8" s="406"/>
      <c r="E8" s="406"/>
      <c r="F8" s="406"/>
      <c r="G8" s="407"/>
      <c r="H8" s="408"/>
      <c r="I8" s="409"/>
      <c r="J8" s="406"/>
      <c r="K8" s="405"/>
      <c r="L8" s="405"/>
      <c r="M8" s="405"/>
      <c r="N8" s="405"/>
      <c r="O8" s="405"/>
      <c r="P8" s="405"/>
      <c r="Q8" s="405"/>
      <c r="R8" s="405"/>
      <c r="S8" s="405"/>
      <c r="T8" s="405"/>
      <c r="Y8" s="411"/>
      <c r="Z8" s="411"/>
      <c r="AA8" s="411"/>
      <c r="AF8" s="412"/>
      <c r="AG8" s="412"/>
      <c r="AH8" s="412"/>
      <c r="AI8" s="412"/>
      <c r="AJ8" s="412"/>
      <c r="AK8" s="412"/>
      <c r="AL8" s="412"/>
      <c r="AM8" s="413"/>
      <c r="AN8" s="413"/>
    </row>
    <row r="9" spans="1:41" s="410" customFormat="1" ht="32.25" customHeight="1" x14ac:dyDescent="0.2">
      <c r="A9" s="416" t="s">
        <v>610</v>
      </c>
      <c r="B9" s="416"/>
      <c r="C9" s="416"/>
      <c r="D9" s="416"/>
      <c r="E9" s="416"/>
      <c r="F9" s="416"/>
      <c r="G9" s="416"/>
      <c r="H9" s="416"/>
      <c r="I9" s="416"/>
      <c r="J9" s="416"/>
      <c r="K9" s="416"/>
      <c r="L9" s="416"/>
      <c r="M9" s="416"/>
      <c r="N9" s="416"/>
      <c r="O9" s="416"/>
      <c r="P9" s="416"/>
      <c r="Q9" s="416"/>
      <c r="R9" s="416"/>
      <c r="S9" s="416"/>
      <c r="T9" s="409" t="s">
        <v>611</v>
      </c>
      <c r="U9" s="406"/>
      <c r="V9" s="406"/>
      <c r="W9" s="406"/>
      <c r="X9" s="406"/>
      <c r="Y9" s="406"/>
      <c r="Z9" s="406"/>
      <c r="AA9" s="406"/>
      <c r="AB9" s="406"/>
      <c r="AC9" s="406"/>
      <c r="AD9" s="406"/>
      <c r="AE9" s="406"/>
      <c r="AF9" s="406"/>
      <c r="AG9" s="406"/>
      <c r="AH9" s="406"/>
      <c r="AI9" s="406"/>
      <c r="AJ9" s="406"/>
      <c r="AK9" s="406"/>
      <c r="AL9" s="406"/>
      <c r="AM9" s="406"/>
      <c r="AN9" s="406"/>
    </row>
    <row r="10" spans="1:41" s="410" customFormat="1" ht="5.25" customHeight="1" x14ac:dyDescent="0.2">
      <c r="A10" s="417"/>
      <c r="B10" s="418"/>
      <c r="C10" s="418"/>
      <c r="D10" s="417"/>
      <c r="E10" s="417"/>
      <c r="F10" s="419"/>
      <c r="G10" s="420"/>
      <c r="H10" s="421"/>
      <c r="I10" s="417"/>
      <c r="J10" s="421"/>
      <c r="K10" s="417"/>
      <c r="L10" s="417"/>
      <c r="M10" s="421"/>
      <c r="N10" s="417"/>
      <c r="O10" s="422"/>
      <c r="P10" s="417"/>
      <c r="Q10" s="422"/>
      <c r="R10" s="417"/>
      <c r="S10" s="421"/>
      <c r="T10" s="417"/>
      <c r="U10" s="417"/>
      <c r="V10" s="421"/>
      <c r="W10" s="423"/>
      <c r="X10" s="421"/>
      <c r="Y10" s="424"/>
      <c r="Z10" s="425"/>
      <c r="AA10" s="426"/>
      <c r="AB10" s="421"/>
      <c r="AC10" s="421"/>
      <c r="AD10" s="421"/>
      <c r="AE10" s="417"/>
      <c r="AF10" s="427"/>
      <c r="AG10" s="427"/>
      <c r="AH10" s="427"/>
      <c r="AI10" s="427"/>
      <c r="AJ10" s="427"/>
      <c r="AK10" s="427"/>
      <c r="AL10" s="427"/>
      <c r="AM10" s="427"/>
      <c r="AN10" s="413"/>
    </row>
    <row r="11" spans="1:41" s="418" customFormat="1" ht="30.75" customHeight="1" x14ac:dyDescent="0.2">
      <c r="A11" s="428" t="s">
        <v>22</v>
      </c>
      <c r="B11" s="428" t="s">
        <v>23</v>
      </c>
      <c r="C11" s="428" t="s">
        <v>24</v>
      </c>
      <c r="D11" s="429" t="s">
        <v>25</v>
      </c>
      <c r="E11" s="429" t="s">
        <v>35</v>
      </c>
      <c r="F11" s="430" t="s">
        <v>26</v>
      </c>
      <c r="G11" s="429" t="s">
        <v>27</v>
      </c>
      <c r="H11" s="431" t="s">
        <v>58</v>
      </c>
      <c r="I11" s="432" t="s">
        <v>57</v>
      </c>
      <c r="J11" s="431" t="s">
        <v>53</v>
      </c>
      <c r="K11" s="429" t="s">
        <v>28</v>
      </c>
      <c r="L11" s="433" t="s">
        <v>29</v>
      </c>
      <c r="M11" s="434"/>
      <c r="N11" s="434"/>
      <c r="O11" s="434"/>
      <c r="P11" s="434"/>
      <c r="Q11" s="435"/>
      <c r="R11" s="436" t="s">
        <v>60</v>
      </c>
      <c r="S11" s="437" t="s">
        <v>42</v>
      </c>
      <c r="T11" s="438">
        <v>0.1</v>
      </c>
      <c r="U11" s="439" t="s">
        <v>466</v>
      </c>
      <c r="V11" s="440"/>
      <c r="W11" s="440"/>
      <c r="X11" s="441"/>
      <c r="Y11" s="442" t="s">
        <v>468</v>
      </c>
      <c r="Z11" s="442"/>
      <c r="AA11" s="442"/>
      <c r="AB11" s="443"/>
      <c r="AC11" s="444" t="s">
        <v>469</v>
      </c>
      <c r="AD11" s="444" t="s">
        <v>471</v>
      </c>
      <c r="AE11" s="445" t="s">
        <v>65</v>
      </c>
      <c r="AF11" s="446" t="s">
        <v>500</v>
      </c>
      <c r="AG11" s="443"/>
      <c r="AH11" s="447" t="s">
        <v>470</v>
      </c>
      <c r="AI11" s="447" t="s">
        <v>44</v>
      </c>
      <c r="AJ11" s="447"/>
      <c r="AK11" s="447"/>
      <c r="AL11" s="447"/>
      <c r="AM11" s="431" t="s">
        <v>66</v>
      </c>
      <c r="AN11" s="431" t="s">
        <v>67</v>
      </c>
    </row>
    <row r="12" spans="1:41" s="418" customFormat="1" ht="84.75" customHeight="1" x14ac:dyDescent="0.2">
      <c r="A12" s="428"/>
      <c r="B12" s="428"/>
      <c r="C12" s="428"/>
      <c r="D12" s="429"/>
      <c r="E12" s="429"/>
      <c r="F12" s="430"/>
      <c r="G12" s="429"/>
      <c r="H12" s="431"/>
      <c r="I12" s="448"/>
      <c r="J12" s="431"/>
      <c r="K12" s="429"/>
      <c r="L12" s="449"/>
      <c r="M12" s="450"/>
      <c r="N12" s="450"/>
      <c r="O12" s="450"/>
      <c r="P12" s="450"/>
      <c r="Q12" s="451"/>
      <c r="R12" s="452"/>
      <c r="S12" s="453"/>
      <c r="T12" s="438"/>
      <c r="U12" s="428" t="s">
        <v>464</v>
      </c>
      <c r="V12" s="428"/>
      <c r="W12" s="428" t="s">
        <v>467</v>
      </c>
      <c r="X12" s="428"/>
      <c r="Y12" s="454"/>
      <c r="Z12" s="454"/>
      <c r="AA12" s="454"/>
      <c r="AB12" s="455"/>
      <c r="AC12" s="444"/>
      <c r="AD12" s="444"/>
      <c r="AE12" s="445"/>
      <c r="AF12" s="456"/>
      <c r="AG12" s="457"/>
      <c r="AH12" s="447"/>
      <c r="AI12" s="444" t="s">
        <v>493</v>
      </c>
      <c r="AJ12" s="444" t="s">
        <v>46</v>
      </c>
      <c r="AK12" s="444" t="s">
        <v>49</v>
      </c>
      <c r="AL12" s="444" t="s">
        <v>47</v>
      </c>
      <c r="AM12" s="431"/>
      <c r="AN12" s="431"/>
    </row>
    <row r="13" spans="1:41" s="418" customFormat="1" ht="35.25" customHeight="1" x14ac:dyDescent="0.2">
      <c r="A13" s="428"/>
      <c r="B13" s="428"/>
      <c r="C13" s="428"/>
      <c r="D13" s="429"/>
      <c r="E13" s="429"/>
      <c r="F13" s="430"/>
      <c r="G13" s="429"/>
      <c r="H13" s="431"/>
      <c r="I13" s="458"/>
      <c r="J13" s="431"/>
      <c r="K13" s="429"/>
      <c r="L13" s="459" t="s">
        <v>465</v>
      </c>
      <c r="M13" s="460" t="s">
        <v>472</v>
      </c>
      <c r="N13" s="459" t="s">
        <v>491</v>
      </c>
      <c r="O13" s="460" t="s">
        <v>472</v>
      </c>
      <c r="P13" s="459" t="s">
        <v>492</v>
      </c>
      <c r="Q13" s="460" t="s">
        <v>472</v>
      </c>
      <c r="R13" s="461"/>
      <c r="S13" s="462"/>
      <c r="T13" s="428"/>
      <c r="U13" s="463">
        <v>0.5</v>
      </c>
      <c r="V13" s="464" t="s">
        <v>472</v>
      </c>
      <c r="W13" s="463">
        <v>0.6</v>
      </c>
      <c r="X13" s="464" t="s">
        <v>472</v>
      </c>
      <c r="Y13" s="465">
        <v>0.4</v>
      </c>
      <c r="Z13" s="466" t="s">
        <v>472</v>
      </c>
      <c r="AA13" s="465">
        <v>0.5</v>
      </c>
      <c r="AB13" s="464" t="s">
        <v>472</v>
      </c>
      <c r="AC13" s="444"/>
      <c r="AD13" s="444"/>
      <c r="AE13" s="467"/>
      <c r="AF13" s="459" t="s">
        <v>473</v>
      </c>
      <c r="AG13" s="464" t="s">
        <v>472</v>
      </c>
      <c r="AH13" s="447"/>
      <c r="AI13" s="444"/>
      <c r="AJ13" s="444"/>
      <c r="AK13" s="444"/>
      <c r="AL13" s="444"/>
      <c r="AM13" s="431"/>
      <c r="AN13" s="431"/>
    </row>
    <row r="14" spans="1:41" s="473" customFormat="1" ht="19.5" customHeight="1" x14ac:dyDescent="0.2">
      <c r="A14" s="468"/>
      <c r="B14" s="469"/>
      <c r="C14" s="469"/>
      <c r="D14" s="468"/>
      <c r="E14" s="469"/>
      <c r="F14" s="469"/>
      <c r="G14" s="468"/>
      <c r="H14" s="469"/>
      <c r="I14" s="469"/>
      <c r="J14" s="468"/>
      <c r="K14" s="470">
        <f t="shared" ref="K14" si="0">SUM(K15:K43)</f>
        <v>22.774999999999999</v>
      </c>
      <c r="L14" s="471" t="s">
        <v>604</v>
      </c>
      <c r="M14" s="470" cm="1">
        <f t="array" ref="M14">SUM(M15:M43+M44)</f>
        <v>1183320.9656250002</v>
      </c>
      <c r="N14" s="470" cm="1">
        <f t="array" ref="N14">SUM(N15:N43+N44)</f>
        <v>239</v>
      </c>
      <c r="O14" s="470">
        <f>O15+O16+O17+O18+O19+O20+O21+O22+O23+O24+O25+O26+O27+O28+O29+O30+O31+O32+O33+O34+O35+O36+O37+O38+O39+O40+O41+O42+O43+O44</f>
        <v>2010135.86625</v>
      </c>
      <c r="P14" s="470">
        <f t="shared" ref="P14:Q14" si="1">P15+P16+P17+P18+P19+P20+P21+P22+P23+P24+P25+P26+P27+P28+P29+P30+P31+P32+P33+P34+P35+P36+P37+P38+P39+P40+P41+P42+P43+P44</f>
        <v>77</v>
      </c>
      <c r="Q14" s="470">
        <f t="shared" si="1"/>
        <v>838505.98124999995</v>
      </c>
      <c r="R14" s="470">
        <f>R15+R16+R17+R18+R19+R20+R21+R22+R23+R24+R25+R26+R27+R28+R29+R30+R31+R32+R33+R34+R35+R36+R37+R38+R39+R40+R41+R42+R43+R44</f>
        <v>1007990.7032812501</v>
      </c>
      <c r="S14" s="470">
        <f t="shared" ref="S14:AK14" si="2">S15+S16+S17+S18+S19+S20+S21+S22+S23+S24+S25+S26+S27+S28+S29+S30+S31+S32+S33+S34+S35+S36+S37+S38+S39+S40+S41+S42+S43+S44</f>
        <v>5039953.5164062502</v>
      </c>
      <c r="T14" s="470">
        <f t="shared" si="2"/>
        <v>503995.35164062504</v>
      </c>
      <c r="U14" s="470">
        <f t="shared" si="2"/>
        <v>3</v>
      </c>
      <c r="V14" s="470">
        <f t="shared" si="2"/>
        <v>26545.5</v>
      </c>
      <c r="W14" s="470">
        <f t="shared" si="2"/>
        <v>6</v>
      </c>
      <c r="X14" s="470">
        <f t="shared" si="2"/>
        <v>63709.19999999999</v>
      </c>
      <c r="Y14" s="470">
        <f t="shared" si="2"/>
        <v>84</v>
      </c>
      <c r="Z14" s="470">
        <f t="shared" si="2"/>
        <v>37163.699999999997</v>
      </c>
      <c r="AA14" s="470">
        <f t="shared" si="2"/>
        <v>78</v>
      </c>
      <c r="AB14" s="470">
        <f t="shared" si="2"/>
        <v>43136.4375</v>
      </c>
      <c r="AC14" s="470">
        <f t="shared" si="2"/>
        <v>110760</v>
      </c>
      <c r="AD14" s="470">
        <f t="shared" si="2"/>
        <v>0</v>
      </c>
      <c r="AE14" s="470">
        <f t="shared" si="2"/>
        <v>1511986.0549218748</v>
      </c>
      <c r="AF14" s="470">
        <f t="shared" si="2"/>
        <v>0</v>
      </c>
      <c r="AG14" s="470">
        <f t="shared" si="2"/>
        <v>0</v>
      </c>
      <c r="AH14" s="470">
        <f t="shared" si="2"/>
        <v>17695</v>
      </c>
      <c r="AI14" s="470">
        <f t="shared" si="2"/>
        <v>541532.34773437504</v>
      </c>
      <c r="AJ14" s="470">
        <f t="shared" si="2"/>
        <v>328482.588984375</v>
      </c>
      <c r="AK14" s="470">
        <f t="shared" si="2"/>
        <v>692616.33750000002</v>
      </c>
      <c r="AL14" s="470">
        <f t="shared" ref="AL14" si="3">SUM(AL15:AL43)+AL44</f>
        <v>0</v>
      </c>
      <c r="AM14" s="470">
        <f>SUM(AM15:AM43)+AM44</f>
        <v>8917576.0346875004</v>
      </c>
      <c r="AN14" s="469">
        <v>107435640</v>
      </c>
      <c r="AO14" s="472"/>
    </row>
    <row r="15" spans="1:41" s="410" customFormat="1" ht="19.5" customHeight="1" x14ac:dyDescent="0.2">
      <c r="A15" s="56">
        <v>1</v>
      </c>
      <c r="B15" s="474" t="s">
        <v>546</v>
      </c>
      <c r="C15" s="475" t="s">
        <v>562</v>
      </c>
      <c r="D15" s="476" t="s">
        <v>37</v>
      </c>
      <c r="E15" s="477" t="s">
        <v>177</v>
      </c>
      <c r="F15" s="477">
        <v>8.6999999999999993</v>
      </c>
      <c r="G15" s="478">
        <v>4.74</v>
      </c>
      <c r="H15" s="479">
        <f t="shared" ref="H15:H44" si="4">G15*I15*J15</f>
        <v>167767.56</v>
      </c>
      <c r="I15" s="480">
        <v>2</v>
      </c>
      <c r="J15" s="56">
        <v>17697</v>
      </c>
      <c r="K15" s="481">
        <v>1</v>
      </c>
      <c r="L15" s="482">
        <v>16</v>
      </c>
      <c r="M15" s="483">
        <f t="shared" ref="M15:M44" si="5">G15*I15*J15/16*L15</f>
        <v>167767.56</v>
      </c>
      <c r="N15" s="482">
        <v>0</v>
      </c>
      <c r="O15" s="483">
        <f t="shared" ref="O15:O44" si="6">G15*I15*J15/16*N15</f>
        <v>0</v>
      </c>
      <c r="P15" s="480">
        <v>0</v>
      </c>
      <c r="Q15" s="479">
        <f t="shared" ref="Q15:Q44" si="7">G15*I15*J15/16*P15</f>
        <v>0</v>
      </c>
      <c r="R15" s="479">
        <f>(M15+O15+Q15)*25%</f>
        <v>41941.89</v>
      </c>
      <c r="S15" s="479">
        <f>M15+O15+Q15+R15</f>
        <v>209709.45</v>
      </c>
      <c r="T15" s="479">
        <f>S15*0.1</f>
        <v>20970.945000000003</v>
      </c>
      <c r="U15" s="480">
        <v>0.5</v>
      </c>
      <c r="V15" s="69">
        <f>17697*50%*U15</f>
        <v>4424.25</v>
      </c>
      <c r="W15" s="480"/>
      <c r="X15" s="484">
        <f>17697*60%*W15</f>
        <v>0</v>
      </c>
      <c r="Y15" s="56">
        <v>8</v>
      </c>
      <c r="Z15" s="479">
        <f>17697*40%/16*Y15</f>
        <v>3539.4</v>
      </c>
      <c r="AA15" s="480"/>
      <c r="AB15" s="479">
        <f>17697*50%/16*AA15</f>
        <v>0</v>
      </c>
      <c r="AC15" s="485"/>
      <c r="AD15" s="480"/>
      <c r="AE15" s="479">
        <f>S15*0.3</f>
        <v>62912.834999999999</v>
      </c>
      <c r="AF15" s="480"/>
      <c r="AG15" s="484">
        <f>17697*40%/16*AF15</f>
        <v>0</v>
      </c>
      <c r="AH15" s="56"/>
      <c r="AI15" s="479">
        <f>S15*30%</f>
        <v>62912.834999999999</v>
      </c>
      <c r="AJ15" s="479"/>
      <c r="AK15" s="479"/>
      <c r="AL15" s="480"/>
      <c r="AM15" s="479">
        <f>S15+T15+V15+X15+Z15+AB15+AC15+AD15+AE15+AG15+AH15+AI15+AJ15+AK15+AL15</f>
        <v>364469.71500000003</v>
      </c>
      <c r="AN15" s="479">
        <f>AM15*12</f>
        <v>4373636.58</v>
      </c>
      <c r="AO15" s="486"/>
    </row>
    <row r="16" spans="1:41" s="410" customFormat="1" ht="18.75" customHeight="1" x14ac:dyDescent="0.2">
      <c r="A16" s="56">
        <v>2</v>
      </c>
      <c r="B16" s="487" t="s">
        <v>547</v>
      </c>
      <c r="C16" s="488" t="s">
        <v>563</v>
      </c>
      <c r="D16" s="476" t="s">
        <v>37</v>
      </c>
      <c r="E16" s="477" t="s">
        <v>177</v>
      </c>
      <c r="F16" s="477">
        <v>11.7</v>
      </c>
      <c r="G16" s="478">
        <v>4.8099999999999996</v>
      </c>
      <c r="H16" s="479">
        <f t="shared" si="4"/>
        <v>170245.13999999998</v>
      </c>
      <c r="I16" s="480">
        <v>2</v>
      </c>
      <c r="J16" s="56">
        <v>17697</v>
      </c>
      <c r="K16" s="481">
        <v>0.9</v>
      </c>
      <c r="L16" s="482">
        <v>3.5</v>
      </c>
      <c r="M16" s="483">
        <f t="shared" si="5"/>
        <v>37241.124374999999</v>
      </c>
      <c r="N16" s="482">
        <v>5</v>
      </c>
      <c r="O16" s="483">
        <f t="shared" si="6"/>
        <v>53201.606249999997</v>
      </c>
      <c r="P16" s="482">
        <v>6</v>
      </c>
      <c r="Q16" s="479">
        <f t="shared" si="7"/>
        <v>63841.927499999991</v>
      </c>
      <c r="R16" s="479">
        <f t="shared" ref="R16:R44" si="8">(M16+O16+Q16)*25%</f>
        <v>38571.164531249997</v>
      </c>
      <c r="S16" s="479">
        <f t="shared" ref="S16:S44" si="9">M16+O16+Q16+R16</f>
        <v>192855.82265624998</v>
      </c>
      <c r="T16" s="479">
        <f t="shared" ref="T16:T44" si="10">S16*0.1</f>
        <v>19285.582265624998</v>
      </c>
      <c r="U16" s="480"/>
      <c r="V16" s="69">
        <f t="shared" ref="V16:V44" si="11">17697*50%*U16</f>
        <v>0</v>
      </c>
      <c r="W16" s="480">
        <v>0.5</v>
      </c>
      <c r="X16" s="484">
        <f t="shared" ref="X16:X44" si="12">17697*60%*W16</f>
        <v>5309.0999999999995</v>
      </c>
      <c r="Y16" s="56"/>
      <c r="Z16" s="479">
        <f t="shared" ref="Z16:Z44" si="13">17697*40%/16*Y16</f>
        <v>0</v>
      </c>
      <c r="AA16" s="480"/>
      <c r="AB16" s="479">
        <f t="shared" ref="AB16:AB44" si="14">17697*50%/16*AA16</f>
        <v>0</v>
      </c>
      <c r="AC16" s="485"/>
      <c r="AD16" s="480"/>
      <c r="AE16" s="479">
        <f t="shared" ref="AE16:AE44" si="15">S16*0.3</f>
        <v>57856.746796874992</v>
      </c>
      <c r="AF16" s="480"/>
      <c r="AG16" s="484">
        <f t="shared" ref="AG16:AG44" si="16">17697*40%/16*AF16</f>
        <v>0</v>
      </c>
      <c r="AH16" s="56">
        <v>3539</v>
      </c>
      <c r="AI16" s="479">
        <f t="shared" ref="AI16:AI37" si="17">S16*30%</f>
        <v>57856.746796874992</v>
      </c>
      <c r="AJ16" s="479"/>
      <c r="AK16" s="479"/>
      <c r="AL16" s="480"/>
      <c r="AM16" s="479">
        <f t="shared" ref="AM16:AM41" si="18">S16+T16+V16+X16+Z16+AB16+AC16+AD16+AE16+AG16+AH16+AI16+AJ16+AK16+AL16</f>
        <v>336702.99851562496</v>
      </c>
      <c r="AN16" s="479">
        <f t="shared" ref="AN16:AN44" si="19">AM16*12</f>
        <v>4040435.9821874993</v>
      </c>
      <c r="AO16" s="486"/>
    </row>
    <row r="17" spans="1:41" s="410" customFormat="1" ht="27.75" customHeight="1" x14ac:dyDescent="0.2">
      <c r="A17" s="56">
        <v>3</v>
      </c>
      <c r="B17" s="474" t="s">
        <v>548</v>
      </c>
      <c r="C17" s="474" t="s">
        <v>564</v>
      </c>
      <c r="D17" s="476" t="s">
        <v>37</v>
      </c>
      <c r="E17" s="477" t="s">
        <v>174</v>
      </c>
      <c r="F17" s="477">
        <v>40.700000000000003</v>
      </c>
      <c r="G17" s="478">
        <v>5.41</v>
      </c>
      <c r="H17" s="479">
        <f t="shared" si="4"/>
        <v>191481.54</v>
      </c>
      <c r="I17" s="480">
        <v>2</v>
      </c>
      <c r="J17" s="56">
        <v>17697</v>
      </c>
      <c r="K17" s="481">
        <v>1.4</v>
      </c>
      <c r="L17" s="482">
        <v>6</v>
      </c>
      <c r="M17" s="483">
        <f t="shared" si="5"/>
        <v>71805.577499999999</v>
      </c>
      <c r="N17" s="482">
        <v>12</v>
      </c>
      <c r="O17" s="483">
        <f t="shared" si="6"/>
        <v>143611.155</v>
      </c>
      <c r="P17" s="482">
        <v>4</v>
      </c>
      <c r="Q17" s="479">
        <f t="shared" si="7"/>
        <v>47870.385000000002</v>
      </c>
      <c r="R17" s="479">
        <f t="shared" si="8"/>
        <v>65821.779374999998</v>
      </c>
      <c r="S17" s="479">
        <f t="shared" si="9"/>
        <v>329108.89687499998</v>
      </c>
      <c r="T17" s="479">
        <f t="shared" si="10"/>
        <v>32910.889687499999</v>
      </c>
      <c r="U17" s="480"/>
      <c r="V17" s="69">
        <f t="shared" si="11"/>
        <v>0</v>
      </c>
      <c r="W17" s="480"/>
      <c r="X17" s="484">
        <f t="shared" si="12"/>
        <v>0</v>
      </c>
      <c r="Y17" s="56">
        <v>6</v>
      </c>
      <c r="Z17" s="479">
        <f t="shared" si="13"/>
        <v>2654.55</v>
      </c>
      <c r="AA17" s="480">
        <v>16</v>
      </c>
      <c r="AB17" s="479">
        <f t="shared" si="14"/>
        <v>8848.5</v>
      </c>
      <c r="AC17" s="485"/>
      <c r="AD17" s="480"/>
      <c r="AE17" s="479">
        <f t="shared" si="15"/>
        <v>98732.66906249999</v>
      </c>
      <c r="AF17" s="480"/>
      <c r="AG17" s="484">
        <f t="shared" si="16"/>
        <v>0</v>
      </c>
      <c r="AH17" s="56"/>
      <c r="AI17" s="479"/>
      <c r="AJ17" s="479"/>
      <c r="AK17" s="479">
        <f t="shared" ref="AK17:AK19" si="20">S17*40%</f>
        <v>131643.55875</v>
      </c>
      <c r="AL17" s="480"/>
      <c r="AM17" s="479">
        <f t="shared" si="18"/>
        <v>603899.06437499996</v>
      </c>
      <c r="AN17" s="479">
        <f t="shared" si="19"/>
        <v>7246788.772499999</v>
      </c>
      <c r="AO17" s="486"/>
    </row>
    <row r="18" spans="1:41" s="410" customFormat="1" ht="19.5" customHeight="1" x14ac:dyDescent="0.2">
      <c r="A18" s="56">
        <v>4</v>
      </c>
      <c r="B18" s="474" t="s">
        <v>527</v>
      </c>
      <c r="C18" s="474" t="s">
        <v>565</v>
      </c>
      <c r="D18" s="476" t="s">
        <v>37</v>
      </c>
      <c r="E18" s="477" t="s">
        <v>178</v>
      </c>
      <c r="F18" s="477">
        <v>10.7</v>
      </c>
      <c r="G18" s="478">
        <v>4.8600000000000003</v>
      </c>
      <c r="H18" s="479">
        <f t="shared" si="4"/>
        <v>172014.84000000003</v>
      </c>
      <c r="I18" s="480">
        <v>2</v>
      </c>
      <c r="J18" s="56">
        <v>17697</v>
      </c>
      <c r="K18" s="481">
        <v>0.9</v>
      </c>
      <c r="L18" s="482">
        <v>7</v>
      </c>
      <c r="M18" s="483">
        <f t="shared" si="5"/>
        <v>75256.492500000008</v>
      </c>
      <c r="N18" s="482">
        <v>7</v>
      </c>
      <c r="O18" s="483">
        <f t="shared" si="6"/>
        <v>75256.492500000008</v>
      </c>
      <c r="P18" s="482">
        <v>0</v>
      </c>
      <c r="Q18" s="479">
        <f t="shared" si="7"/>
        <v>0</v>
      </c>
      <c r="R18" s="479">
        <f t="shared" si="8"/>
        <v>37628.246250000004</v>
      </c>
      <c r="S18" s="479">
        <f t="shared" si="9"/>
        <v>188141.23125000001</v>
      </c>
      <c r="T18" s="479">
        <f t="shared" si="10"/>
        <v>18814.123125000002</v>
      </c>
      <c r="U18" s="480"/>
      <c r="V18" s="69">
        <f t="shared" si="11"/>
        <v>0</v>
      </c>
      <c r="W18" s="480"/>
      <c r="X18" s="484">
        <f t="shared" si="12"/>
        <v>0</v>
      </c>
      <c r="Y18" s="56"/>
      <c r="Z18" s="479">
        <f t="shared" si="13"/>
        <v>0</v>
      </c>
      <c r="AA18" s="480"/>
      <c r="AB18" s="479">
        <f t="shared" si="14"/>
        <v>0</v>
      </c>
      <c r="AC18" s="485"/>
      <c r="AD18" s="480"/>
      <c r="AE18" s="479">
        <f t="shared" si="15"/>
        <v>56442.369375000002</v>
      </c>
      <c r="AF18" s="480"/>
      <c r="AG18" s="484">
        <f t="shared" si="16"/>
        <v>0</v>
      </c>
      <c r="AH18" s="56">
        <v>3539</v>
      </c>
      <c r="AI18" s="479"/>
      <c r="AJ18" s="479">
        <f t="shared" ref="AJ18:AJ20" si="21">S18*35%</f>
        <v>65849.430937500001</v>
      </c>
      <c r="AK18" s="479"/>
      <c r="AL18" s="480"/>
      <c r="AM18" s="479">
        <f t="shared" si="18"/>
        <v>332786.15468749998</v>
      </c>
      <c r="AN18" s="479">
        <f t="shared" si="19"/>
        <v>3993433.8562499997</v>
      </c>
      <c r="AO18" s="486"/>
    </row>
    <row r="19" spans="1:41" s="410" customFormat="1" ht="19.5" customHeight="1" x14ac:dyDescent="0.2">
      <c r="A19" s="56">
        <v>5</v>
      </c>
      <c r="B19" s="474" t="s">
        <v>503</v>
      </c>
      <c r="C19" s="474" t="s">
        <v>480</v>
      </c>
      <c r="D19" s="476" t="s">
        <v>37</v>
      </c>
      <c r="E19" s="477" t="s">
        <v>174</v>
      </c>
      <c r="F19" s="477">
        <v>26.7</v>
      </c>
      <c r="G19" s="478">
        <v>5.41</v>
      </c>
      <c r="H19" s="479">
        <f t="shared" si="4"/>
        <v>191481.54</v>
      </c>
      <c r="I19" s="480">
        <v>2</v>
      </c>
      <c r="J19" s="56">
        <v>17697</v>
      </c>
      <c r="K19" s="481">
        <v>0.5</v>
      </c>
      <c r="L19" s="482">
        <v>0</v>
      </c>
      <c r="M19" s="483">
        <f t="shared" si="5"/>
        <v>0</v>
      </c>
      <c r="N19" s="482">
        <v>8</v>
      </c>
      <c r="O19" s="483">
        <f t="shared" si="6"/>
        <v>95740.77</v>
      </c>
      <c r="P19" s="482">
        <v>0</v>
      </c>
      <c r="Q19" s="479">
        <f t="shared" si="7"/>
        <v>0</v>
      </c>
      <c r="R19" s="479">
        <f t="shared" si="8"/>
        <v>23935.192500000001</v>
      </c>
      <c r="S19" s="479">
        <f t="shared" si="9"/>
        <v>119675.96250000001</v>
      </c>
      <c r="T19" s="479">
        <f t="shared" si="10"/>
        <v>11967.596250000002</v>
      </c>
      <c r="U19" s="480"/>
      <c r="V19" s="69">
        <f t="shared" si="11"/>
        <v>0</v>
      </c>
      <c r="W19" s="480"/>
      <c r="X19" s="484">
        <f t="shared" si="12"/>
        <v>0</v>
      </c>
      <c r="Y19" s="56">
        <v>8</v>
      </c>
      <c r="Z19" s="479">
        <f t="shared" si="13"/>
        <v>3539.4</v>
      </c>
      <c r="AA19" s="480"/>
      <c r="AB19" s="479">
        <f t="shared" si="14"/>
        <v>0</v>
      </c>
      <c r="AC19" s="485"/>
      <c r="AD19" s="480"/>
      <c r="AE19" s="479">
        <f t="shared" si="15"/>
        <v>35902.78875</v>
      </c>
      <c r="AF19" s="480"/>
      <c r="AG19" s="484">
        <f t="shared" si="16"/>
        <v>0</v>
      </c>
      <c r="AH19" s="56"/>
      <c r="AI19" s="479"/>
      <c r="AJ19" s="479"/>
      <c r="AK19" s="479">
        <f t="shared" si="20"/>
        <v>47870.385000000009</v>
      </c>
      <c r="AL19" s="480"/>
      <c r="AM19" s="479">
        <f t="shared" si="18"/>
        <v>218956.13250000004</v>
      </c>
      <c r="AN19" s="479">
        <f t="shared" si="19"/>
        <v>2627473.5900000003</v>
      </c>
      <c r="AO19" s="486"/>
    </row>
    <row r="20" spans="1:41" s="410" customFormat="1" ht="19.5" customHeight="1" x14ac:dyDescent="0.2">
      <c r="A20" s="56">
        <v>6</v>
      </c>
      <c r="B20" s="487" t="s">
        <v>549</v>
      </c>
      <c r="C20" s="488" t="s">
        <v>566</v>
      </c>
      <c r="D20" s="476" t="s">
        <v>37</v>
      </c>
      <c r="E20" s="477" t="s">
        <v>178</v>
      </c>
      <c r="F20" s="477">
        <v>14.7</v>
      </c>
      <c r="G20" s="478">
        <v>4.95</v>
      </c>
      <c r="H20" s="479">
        <f t="shared" si="4"/>
        <v>175200.30000000002</v>
      </c>
      <c r="I20" s="480">
        <v>2</v>
      </c>
      <c r="J20" s="56">
        <v>17697</v>
      </c>
      <c r="K20" s="481">
        <v>0.9</v>
      </c>
      <c r="L20" s="482">
        <v>0</v>
      </c>
      <c r="M20" s="483">
        <f t="shared" si="5"/>
        <v>0</v>
      </c>
      <c r="N20" s="482">
        <v>9</v>
      </c>
      <c r="O20" s="483">
        <f t="shared" si="6"/>
        <v>98550.168750000012</v>
      </c>
      <c r="P20" s="482">
        <v>6</v>
      </c>
      <c r="Q20" s="479">
        <f t="shared" si="7"/>
        <v>65700.112500000003</v>
      </c>
      <c r="R20" s="479">
        <f t="shared" si="8"/>
        <v>41062.5703125</v>
      </c>
      <c r="S20" s="479">
        <f t="shared" si="9"/>
        <v>205312.8515625</v>
      </c>
      <c r="T20" s="479">
        <f t="shared" si="10"/>
        <v>20531.28515625</v>
      </c>
      <c r="U20" s="480"/>
      <c r="V20" s="69">
        <f t="shared" si="11"/>
        <v>0</v>
      </c>
      <c r="W20" s="480"/>
      <c r="X20" s="484">
        <f t="shared" si="12"/>
        <v>0</v>
      </c>
      <c r="Y20" s="56"/>
      <c r="Z20" s="479">
        <f t="shared" si="13"/>
        <v>0</v>
      </c>
      <c r="AA20" s="480"/>
      <c r="AB20" s="479">
        <f t="shared" si="14"/>
        <v>0</v>
      </c>
      <c r="AC20" s="485"/>
      <c r="AD20" s="480"/>
      <c r="AE20" s="479">
        <f t="shared" si="15"/>
        <v>61593.85546875</v>
      </c>
      <c r="AF20" s="480"/>
      <c r="AG20" s="484">
        <f t="shared" si="16"/>
        <v>0</v>
      </c>
      <c r="AH20" s="56"/>
      <c r="AI20" s="479"/>
      <c r="AJ20" s="479">
        <f t="shared" si="21"/>
        <v>71859.498046875</v>
      </c>
      <c r="AK20" s="479"/>
      <c r="AL20" s="480"/>
      <c r="AM20" s="479">
        <f t="shared" si="18"/>
        <v>359297.490234375</v>
      </c>
      <c r="AN20" s="479">
        <f t="shared" si="19"/>
        <v>4311569.8828125</v>
      </c>
      <c r="AO20" s="486"/>
    </row>
    <row r="21" spans="1:41" s="410" customFormat="1" ht="19.5" customHeight="1" x14ac:dyDescent="0.2">
      <c r="A21" s="56">
        <v>7</v>
      </c>
      <c r="B21" s="474" t="s">
        <v>511</v>
      </c>
      <c r="C21" s="474" t="s">
        <v>566</v>
      </c>
      <c r="D21" s="476" t="s">
        <v>37</v>
      </c>
      <c r="E21" s="477" t="s">
        <v>175</v>
      </c>
      <c r="F21" s="477">
        <v>17.7</v>
      </c>
      <c r="G21" s="478">
        <v>4.59</v>
      </c>
      <c r="H21" s="479">
        <f t="shared" si="4"/>
        <v>162458.46</v>
      </c>
      <c r="I21" s="480">
        <v>2</v>
      </c>
      <c r="J21" s="56">
        <v>17697</v>
      </c>
      <c r="K21" s="481">
        <v>0.3</v>
      </c>
      <c r="L21" s="482">
        <v>2</v>
      </c>
      <c r="M21" s="483">
        <f t="shared" si="5"/>
        <v>20307.307499999999</v>
      </c>
      <c r="N21" s="482">
        <v>3</v>
      </c>
      <c r="O21" s="483">
        <f t="shared" si="6"/>
        <v>30460.96125</v>
      </c>
      <c r="P21" s="482">
        <v>0</v>
      </c>
      <c r="Q21" s="479">
        <f t="shared" si="7"/>
        <v>0</v>
      </c>
      <c r="R21" s="479">
        <f t="shared" si="8"/>
        <v>12692.067187500001</v>
      </c>
      <c r="S21" s="479">
        <f t="shared" si="9"/>
        <v>63460.3359375</v>
      </c>
      <c r="T21" s="479">
        <f t="shared" si="10"/>
        <v>6346.0335937500004</v>
      </c>
      <c r="U21" s="480"/>
      <c r="V21" s="69">
        <f t="shared" si="11"/>
        <v>0</v>
      </c>
      <c r="W21" s="480"/>
      <c r="X21" s="484">
        <f t="shared" si="12"/>
        <v>0</v>
      </c>
      <c r="Y21" s="56"/>
      <c r="Z21" s="479">
        <f t="shared" si="13"/>
        <v>0</v>
      </c>
      <c r="AA21" s="480"/>
      <c r="AB21" s="479">
        <f t="shared" si="14"/>
        <v>0</v>
      </c>
      <c r="AC21" s="485"/>
      <c r="AD21" s="480"/>
      <c r="AE21" s="479">
        <f t="shared" si="15"/>
        <v>19038.100781249999</v>
      </c>
      <c r="AF21" s="480"/>
      <c r="AG21" s="484">
        <f t="shared" si="16"/>
        <v>0</v>
      </c>
      <c r="AH21" s="56"/>
      <c r="AI21" s="479"/>
      <c r="AJ21" s="479"/>
      <c r="AK21" s="479"/>
      <c r="AL21" s="480"/>
      <c r="AM21" s="479">
        <f t="shared" si="18"/>
        <v>88844.470312500009</v>
      </c>
      <c r="AN21" s="479">
        <f t="shared" si="19"/>
        <v>1066133.64375</v>
      </c>
      <c r="AO21" s="486"/>
    </row>
    <row r="22" spans="1:41" s="410" customFormat="1" ht="19.5" customHeight="1" x14ac:dyDescent="0.2">
      <c r="A22" s="56">
        <v>8</v>
      </c>
      <c r="B22" s="474" t="s">
        <v>505</v>
      </c>
      <c r="C22" s="474" t="s">
        <v>480</v>
      </c>
      <c r="D22" s="476" t="s">
        <v>37</v>
      </c>
      <c r="E22" s="477" t="s">
        <v>174</v>
      </c>
      <c r="F22" s="477">
        <v>16.7</v>
      </c>
      <c r="G22" s="478">
        <v>5.24</v>
      </c>
      <c r="H22" s="479">
        <f t="shared" si="4"/>
        <v>185464.56</v>
      </c>
      <c r="I22" s="480">
        <v>2</v>
      </c>
      <c r="J22" s="56">
        <v>17697</v>
      </c>
      <c r="K22" s="481">
        <v>0.5</v>
      </c>
      <c r="L22" s="482">
        <v>0</v>
      </c>
      <c r="M22" s="483">
        <f t="shared" si="5"/>
        <v>0</v>
      </c>
      <c r="N22" s="482">
        <v>8</v>
      </c>
      <c r="O22" s="483">
        <f t="shared" si="6"/>
        <v>92732.28</v>
      </c>
      <c r="P22" s="482">
        <v>0</v>
      </c>
      <c r="Q22" s="479">
        <f t="shared" si="7"/>
        <v>0</v>
      </c>
      <c r="R22" s="479">
        <f t="shared" si="8"/>
        <v>23183.07</v>
      </c>
      <c r="S22" s="479">
        <f t="shared" si="9"/>
        <v>115915.35</v>
      </c>
      <c r="T22" s="479">
        <f t="shared" si="10"/>
        <v>11591.535000000002</v>
      </c>
      <c r="U22" s="480"/>
      <c r="V22" s="69">
        <f t="shared" si="11"/>
        <v>0</v>
      </c>
      <c r="W22" s="480"/>
      <c r="X22" s="484">
        <f t="shared" si="12"/>
        <v>0</v>
      </c>
      <c r="Y22" s="56">
        <v>8</v>
      </c>
      <c r="Z22" s="479">
        <f t="shared" si="13"/>
        <v>3539.4</v>
      </c>
      <c r="AA22" s="480"/>
      <c r="AB22" s="479">
        <f t="shared" si="14"/>
        <v>0</v>
      </c>
      <c r="AC22" s="485"/>
      <c r="AD22" s="480"/>
      <c r="AE22" s="479">
        <f t="shared" si="15"/>
        <v>34774.605000000003</v>
      </c>
      <c r="AF22" s="480"/>
      <c r="AG22" s="484">
        <f t="shared" si="16"/>
        <v>0</v>
      </c>
      <c r="AH22" s="56"/>
      <c r="AI22" s="479"/>
      <c r="AJ22" s="479"/>
      <c r="AK22" s="479">
        <f t="shared" ref="AK22" si="22">S22*40%</f>
        <v>46366.140000000007</v>
      </c>
      <c r="AL22" s="480"/>
      <c r="AM22" s="479">
        <f t="shared" si="18"/>
        <v>212187.03000000003</v>
      </c>
      <c r="AN22" s="479">
        <f t="shared" si="19"/>
        <v>2546244.3600000003</v>
      </c>
      <c r="AO22" s="486"/>
    </row>
    <row r="23" spans="1:41" s="410" customFormat="1" ht="19.5" customHeight="1" x14ac:dyDescent="0.2">
      <c r="A23" s="489">
        <v>9</v>
      </c>
      <c r="B23" s="474" t="s">
        <v>550</v>
      </c>
      <c r="C23" s="474" t="s">
        <v>488</v>
      </c>
      <c r="D23" s="476" t="s">
        <v>37</v>
      </c>
      <c r="E23" s="477" t="s">
        <v>177</v>
      </c>
      <c r="F23" s="477">
        <v>13.7</v>
      </c>
      <c r="G23" s="478">
        <v>4.9000000000000004</v>
      </c>
      <c r="H23" s="479">
        <f t="shared" si="4"/>
        <v>173430.6</v>
      </c>
      <c r="I23" s="480">
        <v>2</v>
      </c>
      <c r="J23" s="56">
        <v>17697</v>
      </c>
      <c r="K23" s="481">
        <v>0.2</v>
      </c>
      <c r="L23" s="482">
        <v>1</v>
      </c>
      <c r="M23" s="483">
        <f t="shared" si="5"/>
        <v>10839.4125</v>
      </c>
      <c r="N23" s="482">
        <v>3</v>
      </c>
      <c r="O23" s="483">
        <f t="shared" si="6"/>
        <v>32518.237500000003</v>
      </c>
      <c r="P23" s="482">
        <v>0</v>
      </c>
      <c r="Q23" s="479">
        <f t="shared" si="7"/>
        <v>0</v>
      </c>
      <c r="R23" s="479">
        <f t="shared" si="8"/>
        <v>10839.4125</v>
      </c>
      <c r="S23" s="479">
        <f t="shared" si="9"/>
        <v>54197.0625</v>
      </c>
      <c r="T23" s="479">
        <f t="shared" si="10"/>
        <v>5419.7062500000002</v>
      </c>
      <c r="U23" s="480"/>
      <c r="V23" s="69">
        <f t="shared" si="11"/>
        <v>0</v>
      </c>
      <c r="W23" s="480"/>
      <c r="X23" s="484">
        <f t="shared" si="12"/>
        <v>0</v>
      </c>
      <c r="Y23" s="56"/>
      <c r="Z23" s="479">
        <f t="shared" si="13"/>
        <v>0</v>
      </c>
      <c r="AA23" s="480"/>
      <c r="AB23" s="479">
        <f t="shared" si="14"/>
        <v>0</v>
      </c>
      <c r="AC23" s="485"/>
      <c r="AD23" s="480"/>
      <c r="AE23" s="479">
        <f t="shared" si="15"/>
        <v>16259.11875</v>
      </c>
      <c r="AF23" s="480"/>
      <c r="AG23" s="484">
        <f t="shared" si="16"/>
        <v>0</v>
      </c>
      <c r="AH23" s="56"/>
      <c r="AI23" s="479">
        <f t="shared" si="17"/>
        <v>16259.11875</v>
      </c>
      <c r="AJ23" s="479"/>
      <c r="AK23" s="479"/>
      <c r="AL23" s="480"/>
      <c r="AM23" s="479">
        <f>S23+T23+V23+X23+Z23+AB23+AC23+AD23+AE23+AG23+AH23+AI23+AJ23+AK23+AL23</f>
        <v>92135.006249999991</v>
      </c>
      <c r="AN23" s="479">
        <f t="shared" si="19"/>
        <v>1105620.075</v>
      </c>
      <c r="AO23" s="486"/>
    </row>
    <row r="24" spans="1:41" s="410" customFormat="1" ht="19.5" customHeight="1" x14ac:dyDescent="0.2">
      <c r="A24" s="490"/>
      <c r="B24" s="474" t="s">
        <v>550</v>
      </c>
      <c r="C24" s="474" t="s">
        <v>479</v>
      </c>
      <c r="D24" s="476" t="s">
        <v>37</v>
      </c>
      <c r="E24" s="477" t="s">
        <v>175</v>
      </c>
      <c r="F24" s="477">
        <v>13.7</v>
      </c>
      <c r="G24" s="478">
        <v>4.49</v>
      </c>
      <c r="H24" s="479">
        <f t="shared" si="4"/>
        <v>158919.06</v>
      </c>
      <c r="I24" s="480">
        <v>2</v>
      </c>
      <c r="J24" s="56">
        <v>17697</v>
      </c>
      <c r="K24" s="481">
        <v>0.7</v>
      </c>
      <c r="L24" s="482">
        <v>0</v>
      </c>
      <c r="M24" s="483">
        <f t="shared" si="5"/>
        <v>0</v>
      </c>
      <c r="N24" s="482">
        <v>6</v>
      </c>
      <c r="O24" s="483">
        <f t="shared" si="6"/>
        <v>59594.647499999999</v>
      </c>
      <c r="P24" s="482">
        <v>6</v>
      </c>
      <c r="Q24" s="479">
        <f t="shared" si="7"/>
        <v>59594.647499999999</v>
      </c>
      <c r="R24" s="479">
        <f t="shared" si="8"/>
        <v>29797.32375</v>
      </c>
      <c r="S24" s="479">
        <f t="shared" si="9"/>
        <v>148986.61874999999</v>
      </c>
      <c r="T24" s="479">
        <f t="shared" si="10"/>
        <v>14898.661875</v>
      </c>
      <c r="U24" s="480"/>
      <c r="V24" s="69">
        <f t="shared" si="11"/>
        <v>0</v>
      </c>
      <c r="W24" s="480"/>
      <c r="X24" s="484">
        <f t="shared" si="12"/>
        <v>0</v>
      </c>
      <c r="Y24" s="56"/>
      <c r="Z24" s="479">
        <f t="shared" si="13"/>
        <v>0</v>
      </c>
      <c r="AA24" s="480"/>
      <c r="AB24" s="479">
        <f t="shared" si="14"/>
        <v>0</v>
      </c>
      <c r="AC24" s="485"/>
      <c r="AD24" s="480"/>
      <c r="AE24" s="479">
        <f t="shared" si="15"/>
        <v>44695.985624999994</v>
      </c>
      <c r="AF24" s="480"/>
      <c r="AG24" s="484">
        <f t="shared" si="16"/>
        <v>0</v>
      </c>
      <c r="AH24" s="56">
        <v>3539</v>
      </c>
      <c r="AI24" s="479"/>
      <c r="AJ24" s="479"/>
      <c r="AK24" s="479"/>
      <c r="AL24" s="480"/>
      <c r="AM24" s="479">
        <f t="shared" si="18"/>
        <v>212120.26624999999</v>
      </c>
      <c r="AN24" s="479">
        <f t="shared" si="19"/>
        <v>2545443.1949999998</v>
      </c>
      <c r="AO24" s="486"/>
    </row>
    <row r="25" spans="1:41" s="410" customFormat="1" ht="19.5" customHeight="1" x14ac:dyDescent="0.2">
      <c r="A25" s="56">
        <v>10</v>
      </c>
      <c r="B25" s="474" t="s">
        <v>515</v>
      </c>
      <c r="C25" s="474" t="s">
        <v>477</v>
      </c>
      <c r="D25" s="476" t="s">
        <v>37</v>
      </c>
      <c r="E25" s="477" t="s">
        <v>177</v>
      </c>
      <c r="F25" s="477">
        <v>4.7</v>
      </c>
      <c r="G25" s="478">
        <v>4.59</v>
      </c>
      <c r="H25" s="479">
        <f t="shared" si="4"/>
        <v>162458.46</v>
      </c>
      <c r="I25" s="480">
        <v>2</v>
      </c>
      <c r="J25" s="56">
        <v>17697</v>
      </c>
      <c r="K25" s="481">
        <v>0.375</v>
      </c>
      <c r="L25" s="482">
        <v>0</v>
      </c>
      <c r="M25" s="483">
        <f t="shared" si="5"/>
        <v>0</v>
      </c>
      <c r="N25" s="482">
        <v>6</v>
      </c>
      <c r="O25" s="483">
        <f t="shared" si="6"/>
        <v>60921.922500000001</v>
      </c>
      <c r="P25" s="482">
        <v>0</v>
      </c>
      <c r="Q25" s="479">
        <f t="shared" si="7"/>
        <v>0</v>
      </c>
      <c r="R25" s="479">
        <f t="shared" si="8"/>
        <v>15230.480625</v>
      </c>
      <c r="S25" s="479">
        <f t="shared" si="9"/>
        <v>76152.403124999997</v>
      </c>
      <c r="T25" s="479">
        <f t="shared" si="10"/>
        <v>7615.2403125000001</v>
      </c>
      <c r="U25" s="480"/>
      <c r="V25" s="69">
        <f t="shared" si="11"/>
        <v>0</v>
      </c>
      <c r="W25" s="480"/>
      <c r="X25" s="484">
        <f t="shared" si="12"/>
        <v>0</v>
      </c>
      <c r="Y25" s="56"/>
      <c r="Z25" s="479">
        <f t="shared" si="13"/>
        <v>0</v>
      </c>
      <c r="AA25" s="480"/>
      <c r="AB25" s="479">
        <f t="shared" si="14"/>
        <v>0</v>
      </c>
      <c r="AC25" s="485"/>
      <c r="AD25" s="480"/>
      <c r="AE25" s="479">
        <f t="shared" si="15"/>
        <v>22845.720937499998</v>
      </c>
      <c r="AF25" s="480"/>
      <c r="AG25" s="484">
        <f t="shared" si="16"/>
        <v>0</v>
      </c>
      <c r="AH25" s="56"/>
      <c r="AI25" s="479">
        <f t="shared" si="17"/>
        <v>22845.720937499998</v>
      </c>
      <c r="AJ25" s="479"/>
      <c r="AK25" s="479"/>
      <c r="AL25" s="480"/>
      <c r="AM25" s="479">
        <f t="shared" si="18"/>
        <v>129459.08531249998</v>
      </c>
      <c r="AN25" s="479">
        <f t="shared" si="19"/>
        <v>1553509.0237499997</v>
      </c>
      <c r="AO25" s="486"/>
    </row>
    <row r="26" spans="1:41" s="410" customFormat="1" ht="19.5" customHeight="1" x14ac:dyDescent="0.2">
      <c r="A26" s="56">
        <v>11</v>
      </c>
      <c r="B26" s="474" t="s">
        <v>551</v>
      </c>
      <c r="C26" s="474" t="s">
        <v>474</v>
      </c>
      <c r="D26" s="476" t="s">
        <v>37</v>
      </c>
      <c r="E26" s="477" t="s">
        <v>177</v>
      </c>
      <c r="F26" s="477">
        <v>4.7</v>
      </c>
      <c r="G26" s="478">
        <v>4.66</v>
      </c>
      <c r="H26" s="479">
        <f t="shared" si="4"/>
        <v>164936.04</v>
      </c>
      <c r="I26" s="480">
        <v>2</v>
      </c>
      <c r="J26" s="56">
        <v>17697</v>
      </c>
      <c r="K26" s="481">
        <v>1.1000000000000001</v>
      </c>
      <c r="L26" s="482">
        <v>2</v>
      </c>
      <c r="M26" s="483">
        <f t="shared" si="5"/>
        <v>20617.005000000001</v>
      </c>
      <c r="N26" s="482">
        <v>12</v>
      </c>
      <c r="O26" s="483">
        <f t="shared" si="6"/>
        <v>123702.03</v>
      </c>
      <c r="P26" s="482">
        <v>3</v>
      </c>
      <c r="Q26" s="479">
        <f t="shared" si="7"/>
        <v>30925.5075</v>
      </c>
      <c r="R26" s="479">
        <f t="shared" si="8"/>
        <v>43811.135625000003</v>
      </c>
      <c r="S26" s="479">
        <f t="shared" si="9"/>
        <v>219055.67812500001</v>
      </c>
      <c r="T26" s="479">
        <f t="shared" si="10"/>
        <v>21905.567812500001</v>
      </c>
      <c r="U26" s="480"/>
      <c r="V26" s="69">
        <f t="shared" si="11"/>
        <v>0</v>
      </c>
      <c r="W26" s="480">
        <v>1</v>
      </c>
      <c r="X26" s="484">
        <f t="shared" si="12"/>
        <v>10618.199999999999</v>
      </c>
      <c r="Y26" s="56">
        <v>2</v>
      </c>
      <c r="Z26" s="479">
        <f t="shared" si="13"/>
        <v>884.85</v>
      </c>
      <c r="AA26" s="480">
        <v>15</v>
      </c>
      <c r="AB26" s="479">
        <f t="shared" si="14"/>
        <v>8295.46875</v>
      </c>
      <c r="AC26" s="485"/>
      <c r="AD26" s="480"/>
      <c r="AE26" s="479">
        <f t="shared" si="15"/>
        <v>65716.703437499993</v>
      </c>
      <c r="AF26" s="480"/>
      <c r="AG26" s="484">
        <f t="shared" si="16"/>
        <v>0</v>
      </c>
      <c r="AH26" s="56"/>
      <c r="AI26" s="479">
        <f t="shared" si="17"/>
        <v>65716.703437499993</v>
      </c>
      <c r="AJ26" s="479"/>
      <c r="AK26" s="479"/>
      <c r="AL26" s="480"/>
      <c r="AM26" s="479">
        <f t="shared" si="18"/>
        <v>392193.17156250001</v>
      </c>
      <c r="AN26" s="479">
        <f t="shared" si="19"/>
        <v>4706318.0587499999</v>
      </c>
      <c r="AO26" s="486"/>
    </row>
    <row r="27" spans="1:41" s="410" customFormat="1" ht="19.5" customHeight="1" x14ac:dyDescent="0.2">
      <c r="A27" s="56">
        <v>12</v>
      </c>
      <c r="B27" s="474" t="s">
        <v>552</v>
      </c>
      <c r="C27" s="474" t="s">
        <v>475</v>
      </c>
      <c r="D27" s="476" t="s">
        <v>37</v>
      </c>
      <c r="E27" s="477" t="s">
        <v>177</v>
      </c>
      <c r="F27" s="477">
        <v>15.7</v>
      </c>
      <c r="G27" s="478">
        <v>4.9000000000000004</v>
      </c>
      <c r="H27" s="479">
        <f t="shared" si="4"/>
        <v>173430.6</v>
      </c>
      <c r="I27" s="480">
        <v>2</v>
      </c>
      <c r="J27" s="56">
        <v>17697</v>
      </c>
      <c r="K27" s="481">
        <v>1.1000000000000001</v>
      </c>
      <c r="L27" s="482">
        <v>18</v>
      </c>
      <c r="M27" s="483">
        <f t="shared" si="5"/>
        <v>195109.42500000002</v>
      </c>
      <c r="N27" s="482">
        <v>0</v>
      </c>
      <c r="O27" s="483">
        <f t="shared" si="6"/>
        <v>0</v>
      </c>
      <c r="P27" s="482">
        <v>0</v>
      </c>
      <c r="Q27" s="479">
        <f t="shared" si="7"/>
        <v>0</v>
      </c>
      <c r="R27" s="479">
        <f t="shared" si="8"/>
        <v>48777.356250000004</v>
      </c>
      <c r="S27" s="479">
        <f t="shared" si="9"/>
        <v>243886.78125000003</v>
      </c>
      <c r="T27" s="479">
        <f t="shared" si="10"/>
        <v>24388.678125000006</v>
      </c>
      <c r="U27" s="480">
        <v>0.5</v>
      </c>
      <c r="V27" s="69">
        <f t="shared" si="11"/>
        <v>4424.25</v>
      </c>
      <c r="W27" s="480"/>
      <c r="X27" s="484">
        <f t="shared" si="12"/>
        <v>0</v>
      </c>
      <c r="Y27" s="56">
        <v>9</v>
      </c>
      <c r="Z27" s="479">
        <f t="shared" si="13"/>
        <v>3981.8250000000003</v>
      </c>
      <c r="AA27" s="480"/>
      <c r="AB27" s="479">
        <f t="shared" si="14"/>
        <v>0</v>
      </c>
      <c r="AC27" s="485"/>
      <c r="AD27" s="480"/>
      <c r="AE27" s="479">
        <f t="shared" si="15"/>
        <v>73166.034375000003</v>
      </c>
      <c r="AF27" s="480"/>
      <c r="AG27" s="484">
        <f t="shared" si="16"/>
        <v>0</v>
      </c>
      <c r="AH27" s="56"/>
      <c r="AI27" s="479">
        <f t="shared" si="17"/>
        <v>73166.034375000003</v>
      </c>
      <c r="AJ27" s="479"/>
      <c r="AK27" s="479"/>
      <c r="AL27" s="480"/>
      <c r="AM27" s="479">
        <f t="shared" si="18"/>
        <v>423013.60312500002</v>
      </c>
      <c r="AN27" s="479">
        <f t="shared" si="19"/>
        <v>5076163.2375000007</v>
      </c>
      <c r="AO27" s="486"/>
    </row>
    <row r="28" spans="1:41" s="410" customFormat="1" ht="19.5" customHeight="1" x14ac:dyDescent="0.2">
      <c r="A28" s="56">
        <v>13</v>
      </c>
      <c r="B28" s="474" t="s">
        <v>553</v>
      </c>
      <c r="C28" s="474" t="s">
        <v>475</v>
      </c>
      <c r="D28" s="476" t="s">
        <v>37</v>
      </c>
      <c r="E28" s="477" t="s">
        <v>178</v>
      </c>
      <c r="F28" s="477">
        <v>18.7</v>
      </c>
      <c r="G28" s="478">
        <v>5.03</v>
      </c>
      <c r="H28" s="479">
        <f t="shared" si="4"/>
        <v>178031.82</v>
      </c>
      <c r="I28" s="480">
        <v>2</v>
      </c>
      <c r="J28" s="56">
        <v>17697</v>
      </c>
      <c r="K28" s="481">
        <v>1</v>
      </c>
      <c r="L28" s="482">
        <v>16</v>
      </c>
      <c r="M28" s="483">
        <f t="shared" si="5"/>
        <v>178031.82</v>
      </c>
      <c r="N28" s="482">
        <v>0</v>
      </c>
      <c r="O28" s="483">
        <f t="shared" si="6"/>
        <v>0</v>
      </c>
      <c r="P28" s="482">
        <v>0</v>
      </c>
      <c r="Q28" s="479">
        <f t="shared" si="7"/>
        <v>0</v>
      </c>
      <c r="R28" s="479">
        <f t="shared" si="8"/>
        <v>44507.955000000002</v>
      </c>
      <c r="S28" s="479">
        <f t="shared" si="9"/>
        <v>222539.77500000002</v>
      </c>
      <c r="T28" s="479">
        <f t="shared" si="10"/>
        <v>22253.977500000005</v>
      </c>
      <c r="U28" s="480">
        <v>1</v>
      </c>
      <c r="V28" s="69">
        <f t="shared" si="11"/>
        <v>8848.5</v>
      </c>
      <c r="W28" s="480"/>
      <c r="X28" s="484">
        <f t="shared" si="12"/>
        <v>0</v>
      </c>
      <c r="Y28" s="56">
        <v>8</v>
      </c>
      <c r="Z28" s="479">
        <f t="shared" si="13"/>
        <v>3539.4</v>
      </c>
      <c r="AA28" s="480"/>
      <c r="AB28" s="479">
        <f t="shared" si="14"/>
        <v>0</v>
      </c>
      <c r="AC28" s="485">
        <v>36920</v>
      </c>
      <c r="AD28" s="480"/>
      <c r="AE28" s="479">
        <f t="shared" si="15"/>
        <v>66761.93250000001</v>
      </c>
      <c r="AF28" s="480"/>
      <c r="AG28" s="484">
        <f t="shared" si="16"/>
        <v>0</v>
      </c>
      <c r="AH28" s="56">
        <v>3539</v>
      </c>
      <c r="AI28" s="479"/>
      <c r="AJ28" s="479">
        <f t="shared" ref="AJ28" si="23">S28*35%</f>
        <v>77888.921249999999</v>
      </c>
      <c r="AK28" s="479"/>
      <c r="AL28" s="480"/>
      <c r="AM28" s="479">
        <f t="shared" si="18"/>
        <v>442291.50625000003</v>
      </c>
      <c r="AN28" s="479">
        <f t="shared" si="19"/>
        <v>5307498.0750000002</v>
      </c>
      <c r="AO28" s="486"/>
    </row>
    <row r="29" spans="1:41" s="410" customFormat="1" ht="19.5" customHeight="1" x14ac:dyDescent="0.2">
      <c r="A29" s="56">
        <v>14</v>
      </c>
      <c r="B29" s="474" t="s">
        <v>554</v>
      </c>
      <c r="C29" s="474" t="s">
        <v>564</v>
      </c>
      <c r="D29" s="476" t="s">
        <v>37</v>
      </c>
      <c r="E29" s="477" t="s">
        <v>177</v>
      </c>
      <c r="F29" s="477">
        <v>6.7</v>
      </c>
      <c r="G29" s="478">
        <v>4.66</v>
      </c>
      <c r="H29" s="479">
        <f t="shared" si="4"/>
        <v>164936.04</v>
      </c>
      <c r="I29" s="480">
        <v>2</v>
      </c>
      <c r="J29" s="56">
        <v>17697</v>
      </c>
      <c r="K29" s="481">
        <v>1</v>
      </c>
      <c r="L29" s="482">
        <v>2</v>
      </c>
      <c r="M29" s="483">
        <f t="shared" si="5"/>
        <v>20617.005000000001</v>
      </c>
      <c r="N29" s="482">
        <v>12</v>
      </c>
      <c r="O29" s="483">
        <f t="shared" si="6"/>
        <v>123702.03</v>
      </c>
      <c r="P29" s="482">
        <v>2</v>
      </c>
      <c r="Q29" s="479">
        <f t="shared" si="7"/>
        <v>20617.005000000001</v>
      </c>
      <c r="R29" s="479">
        <f t="shared" si="8"/>
        <v>41234.01</v>
      </c>
      <c r="S29" s="479">
        <f t="shared" si="9"/>
        <v>206170.05000000002</v>
      </c>
      <c r="T29" s="479">
        <f t="shared" si="10"/>
        <v>20617.005000000005</v>
      </c>
      <c r="U29" s="480"/>
      <c r="V29" s="69">
        <f t="shared" si="11"/>
        <v>0</v>
      </c>
      <c r="W29" s="480">
        <v>1</v>
      </c>
      <c r="X29" s="484">
        <f t="shared" si="12"/>
        <v>10618.199999999999</v>
      </c>
      <c r="Y29" s="480">
        <v>2</v>
      </c>
      <c r="Z29" s="479">
        <f t="shared" si="13"/>
        <v>884.85</v>
      </c>
      <c r="AA29" s="480">
        <v>14</v>
      </c>
      <c r="AB29" s="479">
        <f t="shared" si="14"/>
        <v>7742.4375</v>
      </c>
      <c r="AC29" s="485"/>
      <c r="AD29" s="480"/>
      <c r="AE29" s="479">
        <f t="shared" si="15"/>
        <v>61851.014999999999</v>
      </c>
      <c r="AF29" s="480"/>
      <c r="AG29" s="484">
        <f t="shared" si="16"/>
        <v>0</v>
      </c>
      <c r="AH29" s="480"/>
      <c r="AI29" s="479">
        <f t="shared" si="17"/>
        <v>61851.014999999999</v>
      </c>
      <c r="AJ29" s="479"/>
      <c r="AK29" s="479"/>
      <c r="AL29" s="480"/>
      <c r="AM29" s="479">
        <f t="shared" si="18"/>
        <v>369734.57250000007</v>
      </c>
      <c r="AN29" s="479">
        <f t="shared" si="19"/>
        <v>4436814.870000001</v>
      </c>
      <c r="AO29" s="486"/>
    </row>
    <row r="30" spans="1:41" s="410" customFormat="1" ht="19.5" customHeight="1" x14ac:dyDescent="0.2">
      <c r="A30" s="56">
        <v>15</v>
      </c>
      <c r="B30" s="474" t="s">
        <v>555</v>
      </c>
      <c r="C30" s="474" t="s">
        <v>567</v>
      </c>
      <c r="D30" s="476" t="s">
        <v>37</v>
      </c>
      <c r="E30" s="477" t="s">
        <v>174</v>
      </c>
      <c r="F30" s="477">
        <v>29.7</v>
      </c>
      <c r="G30" s="478">
        <v>5.41</v>
      </c>
      <c r="H30" s="479">
        <f t="shared" si="4"/>
        <v>191481.54</v>
      </c>
      <c r="I30" s="480">
        <v>2</v>
      </c>
      <c r="J30" s="56">
        <v>17697</v>
      </c>
      <c r="K30" s="481">
        <v>1</v>
      </c>
      <c r="L30" s="482">
        <v>0</v>
      </c>
      <c r="M30" s="483">
        <f t="shared" si="5"/>
        <v>0</v>
      </c>
      <c r="N30" s="482">
        <v>10</v>
      </c>
      <c r="O30" s="483">
        <f t="shared" si="6"/>
        <v>119675.96250000001</v>
      </c>
      <c r="P30" s="482">
        <v>6</v>
      </c>
      <c r="Q30" s="479">
        <f t="shared" si="7"/>
        <v>71805.577499999999</v>
      </c>
      <c r="R30" s="479">
        <f t="shared" si="8"/>
        <v>47870.385000000002</v>
      </c>
      <c r="S30" s="479">
        <f t="shared" si="9"/>
        <v>239351.92500000002</v>
      </c>
      <c r="T30" s="479">
        <f t="shared" si="10"/>
        <v>23935.192500000005</v>
      </c>
      <c r="U30" s="480"/>
      <c r="V30" s="69">
        <f t="shared" si="11"/>
        <v>0</v>
      </c>
      <c r="W30" s="480"/>
      <c r="X30" s="484">
        <f t="shared" si="12"/>
        <v>0</v>
      </c>
      <c r="Y30" s="56"/>
      <c r="Z30" s="479">
        <f t="shared" si="13"/>
        <v>0</v>
      </c>
      <c r="AA30" s="480">
        <v>7</v>
      </c>
      <c r="AB30" s="479">
        <f t="shared" si="14"/>
        <v>3871.21875</v>
      </c>
      <c r="AC30" s="485"/>
      <c r="AD30" s="480"/>
      <c r="AE30" s="479">
        <f t="shared" si="15"/>
        <v>71805.577499999999</v>
      </c>
      <c r="AF30" s="480"/>
      <c r="AG30" s="484">
        <f t="shared" si="16"/>
        <v>0</v>
      </c>
      <c r="AH30" s="56"/>
      <c r="AI30" s="479"/>
      <c r="AJ30" s="479"/>
      <c r="AK30" s="479">
        <f t="shared" ref="AK30" si="24">S30*40%</f>
        <v>95740.770000000019</v>
      </c>
      <c r="AL30" s="480"/>
      <c r="AM30" s="479">
        <f>S30+T30+V30+X30+Z30+AB30+AC30+AD30+AE30+AG30+AH30+AI30+AJ30+AK30+AL30</f>
        <v>434704.68375000008</v>
      </c>
      <c r="AN30" s="479">
        <f t="shared" si="19"/>
        <v>5216456.205000001</v>
      </c>
      <c r="AO30" s="486"/>
    </row>
    <row r="31" spans="1:41" s="410" customFormat="1" ht="19.5" customHeight="1" x14ac:dyDescent="0.2">
      <c r="A31" s="56">
        <v>16</v>
      </c>
      <c r="B31" s="474" t="s">
        <v>556</v>
      </c>
      <c r="C31" s="474" t="s">
        <v>477</v>
      </c>
      <c r="D31" s="476" t="s">
        <v>37</v>
      </c>
      <c r="E31" s="477" t="s">
        <v>177</v>
      </c>
      <c r="F31" s="477">
        <v>15.7</v>
      </c>
      <c r="G31" s="478">
        <v>4.9000000000000004</v>
      </c>
      <c r="H31" s="479">
        <f t="shared" si="4"/>
        <v>173430.6</v>
      </c>
      <c r="I31" s="480">
        <v>2</v>
      </c>
      <c r="J31" s="56">
        <v>17697</v>
      </c>
      <c r="K31" s="481">
        <v>1</v>
      </c>
      <c r="L31" s="482">
        <v>0</v>
      </c>
      <c r="M31" s="483">
        <f t="shared" si="5"/>
        <v>0</v>
      </c>
      <c r="N31" s="482">
        <v>10</v>
      </c>
      <c r="O31" s="483">
        <f t="shared" si="6"/>
        <v>108394.125</v>
      </c>
      <c r="P31" s="482">
        <v>6</v>
      </c>
      <c r="Q31" s="479">
        <f t="shared" si="7"/>
        <v>65036.475000000006</v>
      </c>
      <c r="R31" s="479">
        <f t="shared" si="8"/>
        <v>43357.65</v>
      </c>
      <c r="S31" s="479">
        <f t="shared" si="9"/>
        <v>216788.25</v>
      </c>
      <c r="T31" s="479">
        <f t="shared" si="10"/>
        <v>21678.825000000001</v>
      </c>
      <c r="U31" s="480"/>
      <c r="V31" s="69">
        <f t="shared" si="11"/>
        <v>0</v>
      </c>
      <c r="W31" s="480">
        <v>1</v>
      </c>
      <c r="X31" s="484">
        <f t="shared" si="12"/>
        <v>10618.199999999999</v>
      </c>
      <c r="Y31" s="56"/>
      <c r="Z31" s="479">
        <f t="shared" si="13"/>
        <v>0</v>
      </c>
      <c r="AA31" s="480"/>
      <c r="AB31" s="479">
        <f t="shared" si="14"/>
        <v>0</v>
      </c>
      <c r="AC31" s="485"/>
      <c r="AD31" s="480"/>
      <c r="AE31" s="479">
        <f t="shared" si="15"/>
        <v>65036.474999999999</v>
      </c>
      <c r="AF31" s="480"/>
      <c r="AG31" s="484">
        <f t="shared" si="16"/>
        <v>0</v>
      </c>
      <c r="AH31" s="56"/>
      <c r="AI31" s="479">
        <f t="shared" si="17"/>
        <v>65036.474999999999</v>
      </c>
      <c r="AJ31" s="479"/>
      <c r="AK31" s="479"/>
      <c r="AL31" s="480"/>
      <c r="AM31" s="479">
        <f t="shared" si="18"/>
        <v>379158.22499999998</v>
      </c>
      <c r="AN31" s="479">
        <f t="shared" si="19"/>
        <v>4549898.6999999993</v>
      </c>
      <c r="AO31" s="486"/>
    </row>
    <row r="32" spans="1:41" s="410" customFormat="1" ht="19.5" customHeight="1" x14ac:dyDescent="0.2">
      <c r="A32" s="56">
        <v>17</v>
      </c>
      <c r="B32" s="474" t="s">
        <v>508</v>
      </c>
      <c r="C32" s="474" t="s">
        <v>565</v>
      </c>
      <c r="D32" s="476" t="s">
        <v>37</v>
      </c>
      <c r="E32" s="477" t="s">
        <v>174</v>
      </c>
      <c r="F32" s="477">
        <v>26.7</v>
      </c>
      <c r="G32" s="478">
        <v>5.41</v>
      </c>
      <c r="H32" s="479">
        <f t="shared" si="4"/>
        <v>191481.54</v>
      </c>
      <c r="I32" s="480">
        <v>2</v>
      </c>
      <c r="J32" s="56">
        <v>17697</v>
      </c>
      <c r="K32" s="481">
        <v>0.5</v>
      </c>
      <c r="L32" s="482">
        <v>0</v>
      </c>
      <c r="M32" s="483">
        <f t="shared" si="5"/>
        <v>0</v>
      </c>
      <c r="N32" s="482">
        <v>7</v>
      </c>
      <c r="O32" s="483">
        <f t="shared" si="6"/>
        <v>83773.173750000002</v>
      </c>
      <c r="P32" s="482">
        <v>1</v>
      </c>
      <c r="Q32" s="479">
        <f t="shared" si="7"/>
        <v>11967.596250000001</v>
      </c>
      <c r="R32" s="479">
        <f t="shared" si="8"/>
        <v>23935.192500000001</v>
      </c>
      <c r="S32" s="479">
        <f t="shared" si="9"/>
        <v>119675.96250000001</v>
      </c>
      <c r="T32" s="479">
        <f t="shared" si="10"/>
        <v>11967.596250000002</v>
      </c>
      <c r="U32" s="480"/>
      <c r="V32" s="69">
        <f t="shared" si="11"/>
        <v>0</v>
      </c>
      <c r="W32" s="480"/>
      <c r="X32" s="484">
        <f t="shared" si="12"/>
        <v>0</v>
      </c>
      <c r="Y32" s="56"/>
      <c r="Z32" s="479">
        <f t="shared" si="13"/>
        <v>0</v>
      </c>
      <c r="AA32" s="480"/>
      <c r="AB32" s="479">
        <f t="shared" si="14"/>
        <v>0</v>
      </c>
      <c r="AC32" s="485"/>
      <c r="AD32" s="480"/>
      <c r="AE32" s="479">
        <f t="shared" si="15"/>
        <v>35902.78875</v>
      </c>
      <c r="AF32" s="480"/>
      <c r="AG32" s="484">
        <f t="shared" si="16"/>
        <v>0</v>
      </c>
      <c r="AH32" s="56"/>
      <c r="AI32" s="479"/>
      <c r="AJ32" s="479"/>
      <c r="AK32" s="479">
        <f t="shared" ref="AK32" si="25">S32*40%</f>
        <v>47870.385000000009</v>
      </c>
      <c r="AL32" s="480"/>
      <c r="AM32" s="479">
        <f t="shared" si="18"/>
        <v>215416.73250000004</v>
      </c>
      <c r="AN32" s="479">
        <f t="shared" si="19"/>
        <v>2585000.7900000005</v>
      </c>
      <c r="AO32" s="486"/>
    </row>
    <row r="33" spans="1:41" s="410" customFormat="1" ht="19.5" customHeight="1" x14ac:dyDescent="0.2">
      <c r="A33" s="489">
        <v>18</v>
      </c>
      <c r="B33" s="474" t="s">
        <v>557</v>
      </c>
      <c r="C33" s="474" t="s">
        <v>478</v>
      </c>
      <c r="D33" s="476" t="s">
        <v>37</v>
      </c>
      <c r="E33" s="477" t="s">
        <v>177</v>
      </c>
      <c r="F33" s="477">
        <v>15.7</v>
      </c>
      <c r="G33" s="478">
        <v>4.9000000000000004</v>
      </c>
      <c r="H33" s="479">
        <f t="shared" si="4"/>
        <v>173430.6</v>
      </c>
      <c r="I33" s="480">
        <v>2</v>
      </c>
      <c r="J33" s="56">
        <v>17697</v>
      </c>
      <c r="K33" s="481">
        <v>0.8</v>
      </c>
      <c r="L33" s="482">
        <v>0</v>
      </c>
      <c r="M33" s="483">
        <f t="shared" si="5"/>
        <v>0</v>
      </c>
      <c r="N33" s="482">
        <v>10</v>
      </c>
      <c r="O33" s="483">
        <f t="shared" si="6"/>
        <v>108394.125</v>
      </c>
      <c r="P33" s="482">
        <v>4</v>
      </c>
      <c r="Q33" s="479">
        <f t="shared" si="7"/>
        <v>43357.65</v>
      </c>
      <c r="R33" s="479">
        <f t="shared" si="8"/>
        <v>37937.943749999999</v>
      </c>
      <c r="S33" s="479">
        <f t="shared" si="9"/>
        <v>189689.71875</v>
      </c>
      <c r="T33" s="479">
        <f t="shared" si="10"/>
        <v>18968.971874999999</v>
      </c>
      <c r="U33" s="480"/>
      <c r="V33" s="69">
        <f t="shared" si="11"/>
        <v>0</v>
      </c>
      <c r="W33" s="480">
        <v>1</v>
      </c>
      <c r="X33" s="484">
        <f t="shared" si="12"/>
        <v>10618.199999999999</v>
      </c>
      <c r="Y33" s="56"/>
      <c r="Z33" s="479">
        <f t="shared" si="13"/>
        <v>0</v>
      </c>
      <c r="AA33" s="480"/>
      <c r="AB33" s="479">
        <f t="shared" si="14"/>
        <v>0</v>
      </c>
      <c r="AC33" s="485">
        <v>36920</v>
      </c>
      <c r="AD33" s="480"/>
      <c r="AE33" s="479">
        <f t="shared" si="15"/>
        <v>56906.915625000001</v>
      </c>
      <c r="AF33" s="480"/>
      <c r="AG33" s="484">
        <f t="shared" si="16"/>
        <v>0</v>
      </c>
      <c r="AH33" s="56">
        <v>3539</v>
      </c>
      <c r="AI33" s="479">
        <f t="shared" si="17"/>
        <v>56906.915625000001</v>
      </c>
      <c r="AJ33" s="479"/>
      <c r="AK33" s="479"/>
      <c r="AL33" s="480"/>
      <c r="AM33" s="479">
        <f t="shared" si="18"/>
        <v>373549.72187500005</v>
      </c>
      <c r="AN33" s="479">
        <f t="shared" si="19"/>
        <v>4482596.6625000006</v>
      </c>
      <c r="AO33" s="486"/>
    </row>
    <row r="34" spans="1:41" s="410" customFormat="1" ht="19.5" customHeight="1" x14ac:dyDescent="0.2">
      <c r="A34" s="490"/>
      <c r="B34" s="474" t="s">
        <v>557</v>
      </c>
      <c r="C34" s="474" t="s">
        <v>476</v>
      </c>
      <c r="D34" s="476" t="s">
        <v>37</v>
      </c>
      <c r="E34" s="477" t="s">
        <v>175</v>
      </c>
      <c r="F34" s="477">
        <v>15.7</v>
      </c>
      <c r="G34" s="478">
        <v>4.49</v>
      </c>
      <c r="H34" s="479">
        <f t="shared" si="4"/>
        <v>158919.06</v>
      </c>
      <c r="I34" s="480">
        <v>2</v>
      </c>
      <c r="J34" s="56">
        <v>17697</v>
      </c>
      <c r="K34" s="481">
        <v>0.1</v>
      </c>
      <c r="L34" s="482">
        <v>0</v>
      </c>
      <c r="M34" s="483">
        <f t="shared" si="5"/>
        <v>0</v>
      </c>
      <c r="N34" s="482">
        <v>1</v>
      </c>
      <c r="O34" s="483">
        <f t="shared" si="6"/>
        <v>9932.4412499999999</v>
      </c>
      <c r="P34" s="482">
        <v>0</v>
      </c>
      <c r="Q34" s="479">
        <f t="shared" si="7"/>
        <v>0</v>
      </c>
      <c r="R34" s="479">
        <f t="shared" si="8"/>
        <v>2483.1103125</v>
      </c>
      <c r="S34" s="479">
        <f t="shared" si="9"/>
        <v>12415.551562500001</v>
      </c>
      <c r="T34" s="479">
        <f t="shared" si="10"/>
        <v>1241.5551562500002</v>
      </c>
      <c r="U34" s="480"/>
      <c r="V34" s="69">
        <f t="shared" si="11"/>
        <v>0</v>
      </c>
      <c r="W34" s="480"/>
      <c r="X34" s="484">
        <f t="shared" si="12"/>
        <v>0</v>
      </c>
      <c r="Y34" s="56"/>
      <c r="Z34" s="479">
        <f t="shared" si="13"/>
        <v>0</v>
      </c>
      <c r="AA34" s="480"/>
      <c r="AB34" s="479">
        <f t="shared" si="14"/>
        <v>0</v>
      </c>
      <c r="AC34" s="485"/>
      <c r="AD34" s="480"/>
      <c r="AE34" s="479">
        <f t="shared" si="15"/>
        <v>3724.6654687499999</v>
      </c>
      <c r="AF34" s="480"/>
      <c r="AG34" s="484">
        <f t="shared" si="16"/>
        <v>0</v>
      </c>
      <c r="AH34" s="56"/>
      <c r="AI34" s="479"/>
      <c r="AJ34" s="479"/>
      <c r="AK34" s="479"/>
      <c r="AL34" s="480"/>
      <c r="AM34" s="479">
        <f t="shared" si="18"/>
        <v>17381.772187500002</v>
      </c>
      <c r="AN34" s="479">
        <f t="shared" si="19"/>
        <v>208581.26625000004</v>
      </c>
      <c r="AO34" s="486"/>
    </row>
    <row r="35" spans="1:41" s="410" customFormat="1" ht="19.5" customHeight="1" x14ac:dyDescent="0.2">
      <c r="A35" s="56">
        <v>19</v>
      </c>
      <c r="B35" s="474" t="s">
        <v>578</v>
      </c>
      <c r="C35" s="474" t="s">
        <v>579</v>
      </c>
      <c r="D35" s="476" t="s">
        <v>37</v>
      </c>
      <c r="E35" s="477" t="s">
        <v>175</v>
      </c>
      <c r="F35" s="477">
        <v>11.7</v>
      </c>
      <c r="G35" s="478">
        <v>4.38</v>
      </c>
      <c r="H35" s="479">
        <f t="shared" si="4"/>
        <v>155025.72</v>
      </c>
      <c r="I35" s="480">
        <v>2</v>
      </c>
      <c r="J35" s="56">
        <v>17697</v>
      </c>
      <c r="K35" s="481">
        <v>0.1</v>
      </c>
      <c r="L35" s="482">
        <v>2</v>
      </c>
      <c r="M35" s="483">
        <f t="shared" si="5"/>
        <v>19378.215</v>
      </c>
      <c r="N35" s="482">
        <v>0</v>
      </c>
      <c r="O35" s="483">
        <f t="shared" si="6"/>
        <v>0</v>
      </c>
      <c r="P35" s="482">
        <v>0</v>
      </c>
      <c r="Q35" s="479">
        <f t="shared" si="7"/>
        <v>0</v>
      </c>
      <c r="R35" s="479">
        <f t="shared" si="8"/>
        <v>4844.55375</v>
      </c>
      <c r="S35" s="479">
        <f t="shared" si="9"/>
        <v>24222.768749999999</v>
      </c>
      <c r="T35" s="479">
        <f t="shared" si="10"/>
        <v>2422.276875</v>
      </c>
      <c r="U35" s="480"/>
      <c r="V35" s="69">
        <f t="shared" si="11"/>
        <v>0</v>
      </c>
      <c r="W35" s="480"/>
      <c r="X35" s="484">
        <f t="shared" si="12"/>
        <v>0</v>
      </c>
      <c r="Y35" s="56"/>
      <c r="Z35" s="479">
        <f t="shared" si="13"/>
        <v>0</v>
      </c>
      <c r="AA35" s="480"/>
      <c r="AB35" s="479">
        <f t="shared" si="14"/>
        <v>0</v>
      </c>
      <c r="AC35" s="485"/>
      <c r="AD35" s="480"/>
      <c r="AE35" s="479">
        <f t="shared" si="15"/>
        <v>7266.8306249999996</v>
      </c>
      <c r="AF35" s="480"/>
      <c r="AG35" s="484">
        <f t="shared" si="16"/>
        <v>0</v>
      </c>
      <c r="AH35" s="56"/>
      <c r="AI35" s="479"/>
      <c r="AJ35" s="479"/>
      <c r="AK35" s="479"/>
      <c r="AL35" s="480"/>
      <c r="AM35" s="479">
        <f t="shared" si="18"/>
        <v>33911.876250000001</v>
      </c>
      <c r="AN35" s="479">
        <f t="shared" si="19"/>
        <v>406942.51500000001</v>
      </c>
      <c r="AO35" s="486"/>
    </row>
    <row r="36" spans="1:41" s="410" customFormat="1" ht="19.5" customHeight="1" x14ac:dyDescent="0.2">
      <c r="A36" s="56">
        <v>20</v>
      </c>
      <c r="B36" s="474" t="s">
        <v>518</v>
      </c>
      <c r="C36" s="474" t="s">
        <v>482</v>
      </c>
      <c r="D36" s="476" t="s">
        <v>37</v>
      </c>
      <c r="E36" s="477" t="s">
        <v>175</v>
      </c>
      <c r="F36" s="477">
        <v>6.7</v>
      </c>
      <c r="G36" s="478">
        <v>4.2699999999999996</v>
      </c>
      <c r="H36" s="479">
        <f t="shared" si="4"/>
        <v>151132.37999999998</v>
      </c>
      <c r="I36" s="480">
        <v>2</v>
      </c>
      <c r="J36" s="56">
        <v>17697</v>
      </c>
      <c r="K36" s="481">
        <v>0.2</v>
      </c>
      <c r="L36" s="482">
        <v>0</v>
      </c>
      <c r="M36" s="483">
        <f t="shared" si="5"/>
        <v>0</v>
      </c>
      <c r="N36" s="482">
        <v>0</v>
      </c>
      <c r="O36" s="483">
        <f t="shared" si="6"/>
        <v>0</v>
      </c>
      <c r="P36" s="482">
        <v>3</v>
      </c>
      <c r="Q36" s="479">
        <f t="shared" si="7"/>
        <v>28337.321249999994</v>
      </c>
      <c r="R36" s="479">
        <f t="shared" si="8"/>
        <v>7084.3303124999984</v>
      </c>
      <c r="S36" s="479">
        <f t="shared" si="9"/>
        <v>35421.651562499988</v>
      </c>
      <c r="T36" s="479">
        <f t="shared" si="10"/>
        <v>3542.1651562499992</v>
      </c>
      <c r="U36" s="480"/>
      <c r="V36" s="69">
        <f t="shared" si="11"/>
        <v>0</v>
      </c>
      <c r="W36" s="480"/>
      <c r="X36" s="484">
        <f t="shared" si="12"/>
        <v>0</v>
      </c>
      <c r="Y36" s="56"/>
      <c r="Z36" s="479">
        <f t="shared" si="13"/>
        <v>0</v>
      </c>
      <c r="AA36" s="480"/>
      <c r="AB36" s="479">
        <f t="shared" si="14"/>
        <v>0</v>
      </c>
      <c r="AC36" s="485"/>
      <c r="AD36" s="480"/>
      <c r="AE36" s="479">
        <f t="shared" si="15"/>
        <v>10626.495468749996</v>
      </c>
      <c r="AF36" s="480"/>
      <c r="AG36" s="484">
        <f t="shared" si="16"/>
        <v>0</v>
      </c>
      <c r="AH36" s="56"/>
      <c r="AI36" s="479"/>
      <c r="AJ36" s="479"/>
      <c r="AK36" s="479"/>
      <c r="AL36" s="480"/>
      <c r="AM36" s="479">
        <f t="shared" si="18"/>
        <v>49590.312187499978</v>
      </c>
      <c r="AN36" s="479">
        <f t="shared" si="19"/>
        <v>595083.74624999973</v>
      </c>
      <c r="AO36" s="486"/>
    </row>
    <row r="37" spans="1:41" s="410" customFormat="1" ht="19.5" customHeight="1" x14ac:dyDescent="0.2">
      <c r="A37" s="56">
        <v>21</v>
      </c>
      <c r="B37" s="474" t="s">
        <v>577</v>
      </c>
      <c r="C37" s="474" t="s">
        <v>566</v>
      </c>
      <c r="D37" s="476" t="s">
        <v>37</v>
      </c>
      <c r="E37" s="477" t="s">
        <v>177</v>
      </c>
      <c r="F37" s="477">
        <v>8</v>
      </c>
      <c r="G37" s="478">
        <v>4.74</v>
      </c>
      <c r="H37" s="479">
        <f t="shared" si="4"/>
        <v>167767.56</v>
      </c>
      <c r="I37" s="480">
        <v>2</v>
      </c>
      <c r="J37" s="56">
        <v>17697</v>
      </c>
      <c r="K37" s="481">
        <v>0.9</v>
      </c>
      <c r="L37" s="482">
        <v>12</v>
      </c>
      <c r="M37" s="483">
        <f t="shared" si="5"/>
        <v>125825.67</v>
      </c>
      <c r="N37" s="482">
        <v>3</v>
      </c>
      <c r="O37" s="483">
        <f t="shared" si="6"/>
        <v>31456.4175</v>
      </c>
      <c r="P37" s="482">
        <v>0</v>
      </c>
      <c r="Q37" s="479">
        <f t="shared" si="7"/>
        <v>0</v>
      </c>
      <c r="R37" s="479">
        <f t="shared" si="8"/>
        <v>39320.521874999999</v>
      </c>
      <c r="S37" s="479">
        <f t="shared" si="9"/>
        <v>196602.609375</v>
      </c>
      <c r="T37" s="479">
        <f t="shared" si="10"/>
        <v>19660.260937500003</v>
      </c>
      <c r="U37" s="480"/>
      <c r="V37" s="69">
        <f t="shared" si="11"/>
        <v>0</v>
      </c>
      <c r="W37" s="480"/>
      <c r="X37" s="484">
        <f t="shared" si="12"/>
        <v>0</v>
      </c>
      <c r="Y37" s="56"/>
      <c r="Z37" s="479">
        <f t="shared" si="13"/>
        <v>0</v>
      </c>
      <c r="AA37" s="480"/>
      <c r="AB37" s="479">
        <f t="shared" si="14"/>
        <v>0</v>
      </c>
      <c r="AC37" s="485"/>
      <c r="AD37" s="480"/>
      <c r="AE37" s="479">
        <f t="shared" si="15"/>
        <v>58980.782812499994</v>
      </c>
      <c r="AF37" s="480"/>
      <c r="AG37" s="484">
        <f t="shared" si="16"/>
        <v>0</v>
      </c>
      <c r="AH37" s="56"/>
      <c r="AI37" s="479">
        <f t="shared" si="17"/>
        <v>58980.782812499994</v>
      </c>
      <c r="AJ37" s="479"/>
      <c r="AK37" s="479"/>
      <c r="AL37" s="480"/>
      <c r="AM37" s="479">
        <f t="shared" si="18"/>
        <v>334224.43593749998</v>
      </c>
      <c r="AN37" s="479">
        <f t="shared" si="19"/>
        <v>4010693.2312499997</v>
      </c>
      <c r="AO37" s="486"/>
    </row>
    <row r="38" spans="1:41" s="410" customFormat="1" ht="19.5" customHeight="1" x14ac:dyDescent="0.2">
      <c r="A38" s="56">
        <v>22</v>
      </c>
      <c r="B38" s="474" t="s">
        <v>558</v>
      </c>
      <c r="C38" s="474" t="s">
        <v>475</v>
      </c>
      <c r="D38" s="476" t="s">
        <v>37</v>
      </c>
      <c r="E38" s="477" t="s">
        <v>174</v>
      </c>
      <c r="F38" s="477">
        <v>27.7</v>
      </c>
      <c r="G38" s="478">
        <v>5.41</v>
      </c>
      <c r="H38" s="479">
        <f t="shared" si="4"/>
        <v>191481.54</v>
      </c>
      <c r="I38" s="480">
        <v>2</v>
      </c>
      <c r="J38" s="56">
        <v>17697</v>
      </c>
      <c r="K38" s="481">
        <v>1.1000000000000001</v>
      </c>
      <c r="L38" s="482">
        <v>17</v>
      </c>
      <c r="M38" s="483">
        <f t="shared" si="5"/>
        <v>203449.13625000001</v>
      </c>
      <c r="N38" s="482">
        <v>0</v>
      </c>
      <c r="O38" s="483">
        <f t="shared" si="6"/>
        <v>0</v>
      </c>
      <c r="P38" s="482">
        <v>0</v>
      </c>
      <c r="Q38" s="479">
        <f t="shared" si="7"/>
        <v>0</v>
      </c>
      <c r="R38" s="479">
        <f t="shared" si="8"/>
        <v>50862.284062500003</v>
      </c>
      <c r="S38" s="479">
        <f t="shared" si="9"/>
        <v>254311.42031250001</v>
      </c>
      <c r="T38" s="479">
        <f t="shared" si="10"/>
        <v>25431.142031250001</v>
      </c>
      <c r="U38" s="480">
        <v>1</v>
      </c>
      <c r="V38" s="69">
        <f t="shared" si="11"/>
        <v>8848.5</v>
      </c>
      <c r="W38" s="480"/>
      <c r="X38" s="484">
        <f t="shared" si="12"/>
        <v>0</v>
      </c>
      <c r="Y38" s="56">
        <v>8</v>
      </c>
      <c r="Z38" s="479">
        <f t="shared" si="13"/>
        <v>3539.4</v>
      </c>
      <c r="AA38" s="480"/>
      <c r="AB38" s="479">
        <f t="shared" si="14"/>
        <v>0</v>
      </c>
      <c r="AC38" s="485"/>
      <c r="AD38" s="480"/>
      <c r="AE38" s="479">
        <f t="shared" si="15"/>
        <v>76293.426093749993</v>
      </c>
      <c r="AF38" s="480"/>
      <c r="AG38" s="484">
        <f t="shared" si="16"/>
        <v>0</v>
      </c>
      <c r="AH38" s="56"/>
      <c r="AI38" s="479"/>
      <c r="AJ38" s="479"/>
      <c r="AK38" s="479">
        <f t="shared" ref="AK38:AK41" si="26">S38*40%</f>
        <v>101724.56812500001</v>
      </c>
      <c r="AL38" s="480"/>
      <c r="AM38" s="479">
        <f t="shared" si="18"/>
        <v>470148.45656250004</v>
      </c>
      <c r="AN38" s="479">
        <f t="shared" si="19"/>
        <v>5641781.4787500007</v>
      </c>
      <c r="AO38" s="486"/>
    </row>
    <row r="39" spans="1:41" s="410" customFormat="1" ht="19.5" customHeight="1" x14ac:dyDescent="0.2">
      <c r="A39" s="56">
        <v>23</v>
      </c>
      <c r="B39" s="474" t="s">
        <v>559</v>
      </c>
      <c r="C39" s="474" t="s">
        <v>480</v>
      </c>
      <c r="D39" s="476" t="s">
        <v>37</v>
      </c>
      <c r="E39" s="477" t="s">
        <v>174</v>
      </c>
      <c r="F39" s="477">
        <v>29.7</v>
      </c>
      <c r="G39" s="478">
        <v>5.41</v>
      </c>
      <c r="H39" s="479">
        <f t="shared" si="4"/>
        <v>191481.54</v>
      </c>
      <c r="I39" s="480">
        <v>2</v>
      </c>
      <c r="J39" s="56">
        <v>17697</v>
      </c>
      <c r="K39" s="481">
        <v>1.3</v>
      </c>
      <c r="L39" s="482">
        <v>0</v>
      </c>
      <c r="M39" s="483">
        <f t="shared" si="5"/>
        <v>0</v>
      </c>
      <c r="N39" s="482">
        <v>9</v>
      </c>
      <c r="O39" s="483">
        <f t="shared" si="6"/>
        <v>107708.36625000001</v>
      </c>
      <c r="P39" s="482">
        <v>12</v>
      </c>
      <c r="Q39" s="479">
        <f t="shared" si="7"/>
        <v>143611.155</v>
      </c>
      <c r="R39" s="479">
        <f t="shared" si="8"/>
        <v>62829.880312499998</v>
      </c>
      <c r="S39" s="479">
        <f t="shared" si="9"/>
        <v>314149.40156249999</v>
      </c>
      <c r="T39" s="479">
        <f t="shared" si="10"/>
        <v>31414.940156249999</v>
      </c>
      <c r="U39" s="480"/>
      <c r="V39" s="69">
        <f t="shared" si="11"/>
        <v>0</v>
      </c>
      <c r="W39" s="480">
        <v>1</v>
      </c>
      <c r="X39" s="484">
        <f t="shared" si="12"/>
        <v>10618.199999999999</v>
      </c>
      <c r="Y39" s="56">
        <v>21</v>
      </c>
      <c r="Z39" s="479">
        <f t="shared" si="13"/>
        <v>9290.9250000000011</v>
      </c>
      <c r="AA39" s="480"/>
      <c r="AB39" s="479">
        <f t="shared" si="14"/>
        <v>0</v>
      </c>
      <c r="AC39" s="485"/>
      <c r="AD39" s="480"/>
      <c r="AE39" s="479">
        <f t="shared" si="15"/>
        <v>94244.820468749997</v>
      </c>
      <c r="AF39" s="480"/>
      <c r="AG39" s="484">
        <f t="shared" si="16"/>
        <v>0</v>
      </c>
      <c r="AH39" s="56"/>
      <c r="AI39" s="479"/>
      <c r="AJ39" s="479"/>
      <c r="AK39" s="479">
        <f t="shared" si="26"/>
        <v>125659.760625</v>
      </c>
      <c r="AL39" s="480"/>
      <c r="AM39" s="479">
        <f t="shared" si="18"/>
        <v>585378.04781249992</v>
      </c>
      <c r="AN39" s="479">
        <f t="shared" si="19"/>
        <v>7024536.5737499986</v>
      </c>
      <c r="AO39" s="486"/>
    </row>
    <row r="40" spans="1:41" s="410" customFormat="1" ht="19.5" customHeight="1" x14ac:dyDescent="0.2">
      <c r="A40" s="56">
        <v>24</v>
      </c>
      <c r="B40" s="474" t="s">
        <v>560</v>
      </c>
      <c r="C40" s="474" t="s">
        <v>481</v>
      </c>
      <c r="D40" s="476" t="s">
        <v>37</v>
      </c>
      <c r="E40" s="477" t="s">
        <v>178</v>
      </c>
      <c r="F40" s="477">
        <v>12.7</v>
      </c>
      <c r="G40" s="478">
        <v>4.8600000000000003</v>
      </c>
      <c r="H40" s="479">
        <f t="shared" si="4"/>
        <v>172014.84000000003</v>
      </c>
      <c r="I40" s="480">
        <v>2</v>
      </c>
      <c r="J40" s="56">
        <v>17697</v>
      </c>
      <c r="K40" s="481">
        <v>1</v>
      </c>
      <c r="L40" s="482">
        <v>0</v>
      </c>
      <c r="M40" s="483">
        <f t="shared" si="5"/>
        <v>0</v>
      </c>
      <c r="N40" s="482">
        <v>9</v>
      </c>
      <c r="O40" s="483">
        <f t="shared" si="6"/>
        <v>96758.347500000018</v>
      </c>
      <c r="P40" s="482">
        <v>7</v>
      </c>
      <c r="Q40" s="479">
        <f t="shared" si="7"/>
        <v>75256.492500000008</v>
      </c>
      <c r="R40" s="479">
        <f t="shared" si="8"/>
        <v>43003.710000000006</v>
      </c>
      <c r="S40" s="479">
        <f t="shared" si="9"/>
        <v>215018.55000000005</v>
      </c>
      <c r="T40" s="479">
        <f t="shared" si="10"/>
        <v>21501.855000000007</v>
      </c>
      <c r="U40" s="480"/>
      <c r="V40" s="69">
        <f t="shared" si="11"/>
        <v>0</v>
      </c>
      <c r="W40" s="480">
        <v>0.5</v>
      </c>
      <c r="X40" s="484">
        <f t="shared" si="12"/>
        <v>5309.0999999999995</v>
      </c>
      <c r="Y40" s="56"/>
      <c r="Z40" s="479">
        <f t="shared" si="13"/>
        <v>0</v>
      </c>
      <c r="AA40" s="480"/>
      <c r="AB40" s="479">
        <f t="shared" si="14"/>
        <v>0</v>
      </c>
      <c r="AC40" s="485"/>
      <c r="AD40" s="480"/>
      <c r="AE40" s="479">
        <f t="shared" si="15"/>
        <v>64505.56500000001</v>
      </c>
      <c r="AF40" s="480"/>
      <c r="AG40" s="484">
        <f t="shared" si="16"/>
        <v>0</v>
      </c>
      <c r="AH40" s="56"/>
      <c r="AI40" s="479"/>
      <c r="AJ40" s="479">
        <f t="shared" ref="AJ40:AJ42" si="27">S40*35%</f>
        <v>75256.492500000008</v>
      </c>
      <c r="AK40" s="479"/>
      <c r="AL40" s="480"/>
      <c r="AM40" s="479">
        <f t="shared" si="18"/>
        <v>381591.56250000006</v>
      </c>
      <c r="AN40" s="479">
        <f t="shared" si="19"/>
        <v>4579098.7500000009</v>
      </c>
      <c r="AO40" s="486"/>
    </row>
    <row r="41" spans="1:41" s="410" customFormat="1" ht="19.5" customHeight="1" x14ac:dyDescent="0.2">
      <c r="A41" s="56">
        <v>25</v>
      </c>
      <c r="B41" s="474" t="s">
        <v>561</v>
      </c>
      <c r="C41" s="474" t="s">
        <v>567</v>
      </c>
      <c r="D41" s="476" t="s">
        <v>37</v>
      </c>
      <c r="E41" s="477" t="s">
        <v>174</v>
      </c>
      <c r="F41" s="477">
        <v>31.7</v>
      </c>
      <c r="G41" s="478">
        <v>5.41</v>
      </c>
      <c r="H41" s="479">
        <f t="shared" si="4"/>
        <v>191481.54</v>
      </c>
      <c r="I41" s="480">
        <v>2</v>
      </c>
      <c r="J41" s="56">
        <v>17697</v>
      </c>
      <c r="K41" s="481">
        <f t="shared" ref="K41" si="28">SUM(L41+N41+P41)/16</f>
        <v>1</v>
      </c>
      <c r="L41" s="482">
        <v>0</v>
      </c>
      <c r="M41" s="483">
        <f t="shared" si="5"/>
        <v>0</v>
      </c>
      <c r="N41" s="482">
        <v>15</v>
      </c>
      <c r="O41" s="483">
        <f t="shared" si="6"/>
        <v>179513.94375000001</v>
      </c>
      <c r="P41" s="482">
        <v>1</v>
      </c>
      <c r="Q41" s="479">
        <f t="shared" si="7"/>
        <v>11967.596250000001</v>
      </c>
      <c r="R41" s="479">
        <f t="shared" si="8"/>
        <v>47870.385000000002</v>
      </c>
      <c r="S41" s="479">
        <f t="shared" si="9"/>
        <v>239351.92500000002</v>
      </c>
      <c r="T41" s="479">
        <f t="shared" si="10"/>
        <v>23935.192500000005</v>
      </c>
      <c r="U41" s="480"/>
      <c r="V41" s="69">
        <f t="shared" si="11"/>
        <v>0</v>
      </c>
      <c r="W41" s="480"/>
      <c r="X41" s="484">
        <f t="shared" si="12"/>
        <v>0</v>
      </c>
      <c r="Y41" s="56"/>
      <c r="Z41" s="479">
        <f t="shared" si="13"/>
        <v>0</v>
      </c>
      <c r="AA41" s="480">
        <v>8</v>
      </c>
      <c r="AB41" s="479">
        <f t="shared" si="14"/>
        <v>4424.25</v>
      </c>
      <c r="AC41" s="485"/>
      <c r="AD41" s="480"/>
      <c r="AE41" s="479">
        <f t="shared" si="15"/>
        <v>71805.577499999999</v>
      </c>
      <c r="AF41" s="480"/>
      <c r="AG41" s="484">
        <f t="shared" si="16"/>
        <v>0</v>
      </c>
      <c r="AH41" s="56"/>
      <c r="AI41" s="479"/>
      <c r="AJ41" s="479"/>
      <c r="AK41" s="479">
        <f t="shared" si="26"/>
        <v>95740.770000000019</v>
      </c>
      <c r="AL41" s="480"/>
      <c r="AM41" s="479">
        <f t="shared" si="18"/>
        <v>435257.71500000008</v>
      </c>
      <c r="AN41" s="479">
        <f t="shared" si="19"/>
        <v>5223092.580000001</v>
      </c>
      <c r="AO41" s="486"/>
    </row>
    <row r="42" spans="1:41" s="410" customFormat="1" ht="19.5" customHeight="1" x14ac:dyDescent="0.2">
      <c r="A42" s="56">
        <v>26</v>
      </c>
      <c r="B42" s="474" t="s">
        <v>510</v>
      </c>
      <c r="C42" s="474" t="s">
        <v>476</v>
      </c>
      <c r="D42" s="476" t="s">
        <v>37</v>
      </c>
      <c r="E42" s="477" t="s">
        <v>178</v>
      </c>
      <c r="F42" s="477">
        <v>10.7</v>
      </c>
      <c r="G42" s="478">
        <v>4.8600000000000003</v>
      </c>
      <c r="H42" s="479">
        <f t="shared" si="4"/>
        <v>172014.84000000003</v>
      </c>
      <c r="I42" s="480">
        <v>2</v>
      </c>
      <c r="J42" s="56">
        <v>17697</v>
      </c>
      <c r="K42" s="481">
        <v>0.5</v>
      </c>
      <c r="L42" s="482">
        <v>0</v>
      </c>
      <c r="M42" s="483">
        <f t="shared" si="5"/>
        <v>0</v>
      </c>
      <c r="N42" s="482">
        <v>4</v>
      </c>
      <c r="O42" s="483">
        <f t="shared" si="6"/>
        <v>43003.710000000006</v>
      </c>
      <c r="P42" s="482">
        <v>4</v>
      </c>
      <c r="Q42" s="479">
        <f t="shared" si="7"/>
        <v>43003.710000000006</v>
      </c>
      <c r="R42" s="479">
        <f t="shared" si="8"/>
        <v>21501.855000000003</v>
      </c>
      <c r="S42" s="479">
        <f t="shared" si="9"/>
        <v>107509.27500000002</v>
      </c>
      <c r="T42" s="479">
        <f t="shared" si="10"/>
        <v>10750.927500000003</v>
      </c>
      <c r="U42" s="480"/>
      <c r="V42" s="69">
        <f t="shared" si="11"/>
        <v>0</v>
      </c>
      <c r="W42" s="480"/>
      <c r="X42" s="484">
        <f t="shared" si="12"/>
        <v>0</v>
      </c>
      <c r="Y42" s="56"/>
      <c r="Z42" s="479">
        <f t="shared" si="13"/>
        <v>0</v>
      </c>
      <c r="AA42" s="480"/>
      <c r="AB42" s="479">
        <f t="shared" si="14"/>
        <v>0</v>
      </c>
      <c r="AC42" s="485">
        <v>36920</v>
      </c>
      <c r="AD42" s="480"/>
      <c r="AE42" s="479">
        <f t="shared" si="15"/>
        <v>32252.782500000005</v>
      </c>
      <c r="AF42" s="480"/>
      <c r="AG42" s="484">
        <f t="shared" si="16"/>
        <v>0</v>
      </c>
      <c r="AH42" s="56"/>
      <c r="AI42" s="479"/>
      <c r="AJ42" s="479">
        <f t="shared" si="27"/>
        <v>37628.246250000004</v>
      </c>
      <c r="AK42" s="479"/>
      <c r="AL42" s="480"/>
      <c r="AM42" s="479">
        <f>S42+T42+V42+X42+Z42+AB42+AC42+AD42+AE42+AG42+AH42+AI42+AJ42+AK42+AL42</f>
        <v>225061.23125000001</v>
      </c>
      <c r="AN42" s="479">
        <f t="shared" si="19"/>
        <v>2700734.7750000004</v>
      </c>
      <c r="AO42" s="486"/>
    </row>
    <row r="43" spans="1:41" s="410" customFormat="1" ht="19.5" customHeight="1" x14ac:dyDescent="0.2">
      <c r="A43" s="56">
        <v>27</v>
      </c>
      <c r="B43" s="474" t="s">
        <v>598</v>
      </c>
      <c r="C43" s="474" t="s">
        <v>474</v>
      </c>
      <c r="D43" s="476" t="s">
        <v>37</v>
      </c>
      <c r="E43" s="477" t="s">
        <v>175</v>
      </c>
      <c r="F43" s="477">
        <v>2</v>
      </c>
      <c r="G43" s="478">
        <v>4.1900000000000004</v>
      </c>
      <c r="H43" s="479">
        <f t="shared" si="4"/>
        <v>148300.86000000002</v>
      </c>
      <c r="I43" s="480">
        <v>2</v>
      </c>
      <c r="J43" s="56">
        <v>17697</v>
      </c>
      <c r="K43" s="481">
        <v>1.4</v>
      </c>
      <c r="L43" s="482">
        <v>4</v>
      </c>
      <c r="M43" s="483">
        <f t="shared" si="5"/>
        <v>37075.215000000004</v>
      </c>
      <c r="N43" s="482">
        <v>12</v>
      </c>
      <c r="O43" s="483">
        <f t="shared" si="6"/>
        <v>111225.64500000002</v>
      </c>
      <c r="P43" s="482">
        <v>6</v>
      </c>
      <c r="Q43" s="479">
        <f t="shared" si="7"/>
        <v>55612.822500000009</v>
      </c>
      <c r="R43" s="479">
        <f t="shared" si="8"/>
        <v>50978.420625000006</v>
      </c>
      <c r="S43" s="479">
        <f t="shared" si="9"/>
        <v>254892.10312500002</v>
      </c>
      <c r="T43" s="479">
        <f t="shared" si="10"/>
        <v>25489.210312500003</v>
      </c>
      <c r="U43" s="480"/>
      <c r="V43" s="69">
        <f t="shared" si="11"/>
        <v>0</v>
      </c>
      <c r="W43" s="480"/>
      <c r="X43" s="484">
        <f t="shared" si="12"/>
        <v>0</v>
      </c>
      <c r="Y43" s="56">
        <v>4</v>
      </c>
      <c r="Z43" s="479">
        <f t="shared" si="13"/>
        <v>1769.7</v>
      </c>
      <c r="AA43" s="480">
        <v>18</v>
      </c>
      <c r="AB43" s="479">
        <f t="shared" si="14"/>
        <v>9954.5625</v>
      </c>
      <c r="AC43" s="485"/>
      <c r="AD43" s="480"/>
      <c r="AE43" s="479">
        <f t="shared" si="15"/>
        <v>76467.630937499998</v>
      </c>
      <c r="AF43" s="480"/>
      <c r="AG43" s="484">
        <f t="shared" si="16"/>
        <v>0</v>
      </c>
      <c r="AH43" s="56"/>
      <c r="AI43" s="479"/>
      <c r="AJ43" s="479"/>
      <c r="AK43" s="479"/>
      <c r="AL43" s="480"/>
      <c r="AM43" s="479">
        <f>S43+T43+V43+X43+Z43+AB43+AC43+AD43+AE43+AG43+AH43+AI43+AJ43+AK43+AL43</f>
        <v>368573.20687500003</v>
      </c>
      <c r="AN43" s="479">
        <f t="shared" si="19"/>
        <v>4422878.4824999999</v>
      </c>
      <c r="AO43" s="486"/>
    </row>
    <row r="44" spans="1:41" s="492" customFormat="1" ht="18.75" customHeight="1" x14ac:dyDescent="0.2">
      <c r="A44" s="491">
        <v>28</v>
      </c>
      <c r="B44" s="474" t="s">
        <v>597</v>
      </c>
      <c r="C44" s="474" t="s">
        <v>487</v>
      </c>
      <c r="D44" s="476" t="s">
        <v>37</v>
      </c>
      <c r="E44" s="477" t="s">
        <v>175</v>
      </c>
      <c r="F44" s="477">
        <v>16</v>
      </c>
      <c r="G44" s="478">
        <v>4.59</v>
      </c>
      <c r="H44" s="479">
        <f t="shared" si="4"/>
        <v>162458.46</v>
      </c>
      <c r="I44" s="480">
        <v>2</v>
      </c>
      <c r="J44" s="56">
        <v>17697</v>
      </c>
      <c r="K44" s="481">
        <v>0.125</v>
      </c>
      <c r="L44" s="482">
        <v>0</v>
      </c>
      <c r="M44" s="483">
        <f t="shared" si="5"/>
        <v>0</v>
      </c>
      <c r="N44" s="482">
        <v>2</v>
      </c>
      <c r="O44" s="483">
        <f t="shared" si="6"/>
        <v>20307.307499999999</v>
      </c>
      <c r="P44" s="482">
        <v>0</v>
      </c>
      <c r="Q44" s="479">
        <f t="shared" si="7"/>
        <v>0</v>
      </c>
      <c r="R44" s="479">
        <f t="shared" si="8"/>
        <v>5076.8268749999997</v>
      </c>
      <c r="S44" s="479">
        <f t="shared" si="9"/>
        <v>25384.134374999998</v>
      </c>
      <c r="T44" s="479">
        <f t="shared" si="10"/>
        <v>2538.4134374999999</v>
      </c>
      <c r="U44" s="480"/>
      <c r="V44" s="69">
        <f t="shared" si="11"/>
        <v>0</v>
      </c>
      <c r="W44" s="480"/>
      <c r="X44" s="484">
        <f t="shared" si="12"/>
        <v>0</v>
      </c>
      <c r="Y44" s="56"/>
      <c r="Z44" s="479">
        <f t="shared" si="13"/>
        <v>0</v>
      </c>
      <c r="AA44" s="480"/>
      <c r="AB44" s="479">
        <f t="shared" si="14"/>
        <v>0</v>
      </c>
      <c r="AC44" s="485"/>
      <c r="AD44" s="480"/>
      <c r="AE44" s="479">
        <f t="shared" si="15"/>
        <v>7615.2403124999992</v>
      </c>
      <c r="AF44" s="480"/>
      <c r="AG44" s="484">
        <f t="shared" si="16"/>
        <v>0</v>
      </c>
      <c r="AH44" s="56"/>
      <c r="AI44" s="479"/>
      <c r="AJ44" s="479"/>
      <c r="AK44" s="479"/>
      <c r="AL44" s="480"/>
      <c r="AM44" s="479">
        <f>S44+T44+V44+X44+Z44+AB44+AC44+AD44+AE44+AG44+AH44+AI44+AJ44+AK44+AL44</f>
        <v>35537.788124999999</v>
      </c>
      <c r="AN44" s="479">
        <f t="shared" si="19"/>
        <v>426453.45750000002</v>
      </c>
    </row>
    <row r="47" spans="1:41" x14ac:dyDescent="0.2">
      <c r="AC47" s="473" t="s">
        <v>502</v>
      </c>
      <c r="AD47" s="492"/>
      <c r="AE47" s="502"/>
      <c r="AF47" s="473"/>
      <c r="AG47" s="473"/>
      <c r="AH47" s="503"/>
      <c r="AI47" s="504"/>
      <c r="AJ47" s="505"/>
    </row>
    <row r="48" spans="1:41" x14ac:dyDescent="0.2">
      <c r="AC48" s="492"/>
      <c r="AD48" s="492"/>
      <c r="AE48" s="502"/>
      <c r="AF48" s="473"/>
      <c r="AG48" s="506"/>
      <c r="AH48" s="503"/>
      <c r="AI48" s="504"/>
      <c r="AJ48" s="505"/>
    </row>
    <row r="49" spans="29:36" x14ac:dyDescent="0.2">
      <c r="AC49" s="473" t="s">
        <v>587</v>
      </c>
      <c r="AD49" s="492"/>
      <c r="AE49" s="502"/>
      <c r="AF49" s="473"/>
      <c r="AG49" s="473"/>
      <c r="AH49" s="503"/>
      <c r="AI49" s="504"/>
      <c r="AJ49" s="505"/>
    </row>
    <row r="50" spans="29:36" x14ac:dyDescent="0.2">
      <c r="AC50" s="473"/>
      <c r="AD50" s="492"/>
      <c r="AE50" s="502"/>
      <c r="AF50" s="473"/>
      <c r="AG50" s="473"/>
      <c r="AH50" s="507"/>
      <c r="AI50" s="508"/>
      <c r="AJ50" s="413"/>
    </row>
    <row r="51" spans="29:36" x14ac:dyDescent="0.2">
      <c r="AC51" s="473" t="s">
        <v>574</v>
      </c>
      <c r="AD51" s="492"/>
      <c r="AE51" s="502"/>
      <c r="AF51" s="473"/>
      <c r="AG51" s="473"/>
      <c r="AH51" s="507"/>
      <c r="AI51" s="508"/>
      <c r="AJ51" s="413"/>
    </row>
    <row r="52" spans="29:36" x14ac:dyDescent="0.2">
      <c r="AC52" s="410"/>
      <c r="AD52" s="492"/>
      <c r="AE52" s="502"/>
      <c r="AF52" s="473"/>
      <c r="AG52" s="473"/>
      <c r="AH52" s="507"/>
      <c r="AI52" s="508"/>
      <c r="AJ52" s="413"/>
    </row>
    <row r="53" spans="29:36" x14ac:dyDescent="0.2">
      <c r="AC53" s="473" t="s">
        <v>545</v>
      </c>
      <c r="AD53" s="413"/>
      <c r="AE53" s="509"/>
      <c r="AF53" s="413"/>
      <c r="AG53" s="411"/>
      <c r="AH53" s="507"/>
      <c r="AI53" s="508"/>
      <c r="AJ53" s="413"/>
    </row>
    <row r="54" spans="29:36" x14ac:dyDescent="0.2">
      <c r="AC54" s="410"/>
      <c r="AD54" s="410"/>
      <c r="AE54" s="410"/>
      <c r="AF54" s="410"/>
      <c r="AG54" s="410"/>
      <c r="AH54" s="410"/>
      <c r="AI54" s="410"/>
      <c r="AJ54" s="410"/>
    </row>
  </sheetData>
  <mergeCells count="35">
    <mergeCell ref="AL12:AL13"/>
    <mergeCell ref="A23:A24"/>
    <mergeCell ref="A33:A34"/>
    <mergeCell ref="AF11:AG12"/>
    <mergeCell ref="AH11:AH13"/>
    <mergeCell ref="AI11:AL11"/>
    <mergeCell ref="AM11:AM13"/>
    <mergeCell ref="AN11:AN13"/>
    <mergeCell ref="U12:V12"/>
    <mergeCell ref="W12:X12"/>
    <mergeCell ref="AI12:AI13"/>
    <mergeCell ref="AJ12:AJ13"/>
    <mergeCell ref="AK12:AK13"/>
    <mergeCell ref="T11:T13"/>
    <mergeCell ref="U11:X11"/>
    <mergeCell ref="Y11:AB12"/>
    <mergeCell ref="AC11:AC13"/>
    <mergeCell ref="AD11:AD13"/>
    <mergeCell ref="AE11:AE13"/>
    <mergeCell ref="I11:I13"/>
    <mergeCell ref="J11:J13"/>
    <mergeCell ref="K11:K13"/>
    <mergeCell ref="L11:Q12"/>
    <mergeCell ref="R11:R13"/>
    <mergeCell ref="S11:S13"/>
    <mergeCell ref="A9:S9"/>
    <mergeCell ref="AF10:AM10"/>
    <mergeCell ref="A11:A13"/>
    <mergeCell ref="B11:B13"/>
    <mergeCell ref="C11:C13"/>
    <mergeCell ref="D11:D13"/>
    <mergeCell ref="E11:E13"/>
    <mergeCell ref="F11:F13"/>
    <mergeCell ref="G11:G13"/>
    <mergeCell ref="H11:H13"/>
  </mergeCells>
  <pageMargins left="0.70866141732283472" right="0.70866141732283472" top="0.74803149606299213" bottom="0.74803149606299213" header="0.31496062992125984" footer="0.31496062992125984"/>
  <pageSetup paperSize="9" scale="4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9</vt:i4>
      </vt:variant>
    </vt:vector>
  </HeadingPairs>
  <TitlesOfParts>
    <vt:vector size="17" baseType="lpstr">
      <vt:lpstr>свод штат</vt:lpstr>
      <vt:lpstr>ШТАТ АУП 2022</vt:lpstr>
      <vt:lpstr>тариф мугалим</vt:lpstr>
      <vt:lpstr>АДМ 1 сен</vt:lpstr>
      <vt:lpstr>МҰҒАЛІМ 1 сен</vt:lpstr>
      <vt:lpstr>шағын орталық</vt:lpstr>
      <vt:lpstr>Лист1</vt:lpstr>
      <vt:lpstr>Лист2</vt:lpstr>
      <vt:lpstr>'АДМ 1 сен'!Заголовки_для_печати</vt:lpstr>
      <vt:lpstr>'МҰҒАЛІМ 1 сен'!Заголовки_для_печати</vt:lpstr>
      <vt:lpstr>'свод штат'!Заголовки_для_печати</vt:lpstr>
      <vt:lpstr>'тариф мугалим'!Заголовки_для_печати</vt:lpstr>
      <vt:lpstr>'ШТАТ АУП 2022'!Заголовки_для_печати</vt:lpstr>
      <vt:lpstr>'АДМ 1 сен'!Область_печати</vt:lpstr>
      <vt:lpstr>'МҰҒАЛІМ 1 сен'!Область_печати</vt:lpstr>
      <vt:lpstr>'тариф мугалим'!Область_печати</vt:lpstr>
      <vt:lpstr>'ШТАТ АУП 2022'!Область_печати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2025-02-05T10:44:06Z</cp:lastPrinted>
  <dcterms:created xsi:type="dcterms:W3CDTF">1996-10-08T23:32:33Z</dcterms:created>
  <dcterms:modified xsi:type="dcterms:W3CDTF">2025-02-05T10:44:39Z</dcterms:modified>
</cp:coreProperties>
</file>